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汇总计划!$A$1:$Q$5107</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<sst xmlns="http://schemas.openxmlformats.org/spreadsheetml/2006/main" count="11677" uniqueCount="580">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</sst>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0_);[Red]\(0\)"/>
    <numFmt numFmtId="178" formatCode="yyyy/m/d;@"/>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6" fontId="46" fillId="0" borderId="0">
      <alignment vertical="center"/>
    </xf>
    <xf numFmtId="0" fontId="0" fillId="0" borderId="0">
      <alignment vertical="center"/>
    </xf>
    <xf numFmtId="0" fontId="38" fillId="0" borderId="0">
      <alignment vertical="center"/>
    </xf>
  </cellStyleXfs>
  <cellXfs count="160">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HPB300Φ8</v>
          </cell>
          <cell r="D9057" t="str">
            <v>吨</v>
          </cell>
          <cell r="E9057">
            <v>2</v>
          </cell>
          <cell r="F9057">
            <v>45958</v>
          </cell>
          <cell r="G9057" t="str">
            <v>（北京工程局乐山机场项目）乐山市五通桥区冠英镇</v>
          </cell>
          <cell r="H9057" t="str">
            <v>王治</v>
          </cell>
          <cell r="I9057">
            <v>18811564698</v>
          </cell>
        </row>
        <row r="9058">
          <cell r="A9058" t="str">
            <v>达钢</v>
          </cell>
          <cell r="B9058" t="str">
            <v>高线</v>
          </cell>
          <cell r="C9058" t="str">
            <v>HPB300Φ6</v>
          </cell>
          <cell r="D9058" t="str">
            <v>吨</v>
          </cell>
          <cell r="E9058">
            <v>6</v>
          </cell>
          <cell r="F9058">
            <v>45958</v>
          </cell>
          <cell r="G9058" t="str">
            <v>（北京工程局乐山机场项目）乐山市五通桥区冠英镇</v>
          </cell>
          <cell r="H9058" t="str">
            <v>王治</v>
          </cell>
          <cell r="I9058">
            <v>18811564698</v>
          </cell>
        </row>
        <row r="9059">
          <cell r="A9059" t="str">
            <v>达钢</v>
          </cell>
          <cell r="B9059" t="str">
            <v>盘螺</v>
          </cell>
          <cell r="C9059" t="str">
            <v>HRB400EФ8</v>
          </cell>
          <cell r="D9059" t="str">
            <v>吨</v>
          </cell>
          <cell r="E9059">
            <v>15.5</v>
          </cell>
          <cell r="F9059">
            <v>45958</v>
          </cell>
          <cell r="G9059" t="str">
            <v>（北京工程局乐山机场项目）乐山市五通桥区冠英镇</v>
          </cell>
          <cell r="H9059" t="str">
            <v>王治</v>
          </cell>
          <cell r="I9059">
            <v>18811564698</v>
          </cell>
        </row>
        <row r="9060">
          <cell r="A9060" t="str">
            <v>达钢</v>
          </cell>
          <cell r="B9060" t="str">
            <v>螺纹钢</v>
          </cell>
          <cell r="C9060" t="str">
            <v>HRB400EФ14*12m</v>
          </cell>
          <cell r="D9060" t="str">
            <v>吨</v>
          </cell>
          <cell r="E9060">
            <v>6</v>
          </cell>
          <cell r="F9060">
            <v>45958</v>
          </cell>
          <cell r="G9060" t="str">
            <v>（北京工程局乐山机场项目）乐山市五通桥区冠英镇</v>
          </cell>
          <cell r="H9060" t="str">
            <v>王治</v>
          </cell>
          <cell r="I9060">
            <v>18811564698</v>
          </cell>
        </row>
        <row r="9061">
          <cell r="A9061" t="str">
            <v>泸钢</v>
          </cell>
          <cell r="B9061" t="str">
            <v>螺纹钢</v>
          </cell>
          <cell r="C9061" t="str">
            <v>HRB400E Φ16 9m</v>
          </cell>
          <cell r="D9061" t="str">
            <v>吨</v>
          </cell>
          <cell r="E9061">
            <v>30</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v>
          </cell>
          <cell r="B9062" t="str">
            <v>螺纹钢</v>
          </cell>
          <cell r="C9062" t="str">
            <v>HRB400E Φ18 9m</v>
          </cell>
          <cell r="D9062" t="str">
            <v>吨</v>
          </cell>
          <cell r="E9062">
            <v>5</v>
          </cell>
          <cell r="F9062">
            <v>45958</v>
          </cell>
          <cell r="G9062" t="str">
            <v>(五冶钢构龙泉东洪片区70亩住宅、商业及配套工程项目三标段)成都市龙泉驿外东洪路地铁2号线惠王陵地铁C口</v>
          </cell>
          <cell r="H9062" t="str">
            <v>蒋嗣伟</v>
          </cell>
          <cell r="I9062">
            <v>15014331252</v>
          </cell>
        </row>
        <row r="9063">
          <cell r="A9063" t="str">
            <v>泸钢（代）</v>
          </cell>
          <cell r="B9063" t="str">
            <v>盘圆</v>
          </cell>
          <cell r="C9063" t="str">
            <v>HPB300Φ12mm</v>
          </cell>
          <cell r="D9063" t="str">
            <v>吨</v>
          </cell>
          <cell r="E9063">
            <v>15</v>
          </cell>
          <cell r="F9063">
            <v>45958</v>
          </cell>
          <cell r="G9063" t="str">
            <v>（成峨1标）眉山市彭山区谢家街道跳墩子</v>
          </cell>
          <cell r="H9063" t="str">
            <v>曾毅</v>
          </cell>
          <cell r="I9063" t="str">
            <v>13982229815</v>
          </cell>
        </row>
        <row r="9064">
          <cell r="A9064" t="str">
            <v>泸钢（代）</v>
          </cell>
          <cell r="B9064" t="str">
            <v>螺纹钢</v>
          </cell>
          <cell r="C9064" t="str">
            <v>HRB500EΦ32*12m</v>
          </cell>
          <cell r="D9064" t="str">
            <v>吨</v>
          </cell>
          <cell r="E9064">
            <v>20</v>
          </cell>
          <cell r="F9064">
            <v>45958</v>
          </cell>
          <cell r="G9064" t="str">
            <v>（成峨1标）眉山市彭山区谢家街道跳墩子</v>
          </cell>
          <cell r="H9064" t="str">
            <v>曾毅</v>
          </cell>
          <cell r="I9064" t="str">
            <v>13982229815</v>
          </cell>
        </row>
        <row r="9065">
          <cell r="A9065" t="str">
            <v>泸钢</v>
          </cell>
          <cell r="B9065" t="str">
            <v>高线</v>
          </cell>
          <cell r="C9065" t="str">
            <v>HPB300 Φ10</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Φ12×9米</v>
          </cell>
          <cell r="D9066" t="str">
            <v>吨</v>
          </cell>
          <cell r="E9066">
            <v>5</v>
          </cell>
          <cell r="F9066">
            <v>45958</v>
          </cell>
          <cell r="G9066" t="str">
            <v>自永高速一标二工区（连接线</v>
          </cell>
          <cell r="H9066" t="str">
            <v>余伯宣</v>
          </cell>
          <cell r="I9066">
            <v>13778530969</v>
          </cell>
        </row>
        <row r="9067">
          <cell r="A9067" t="str">
            <v>泸钢</v>
          </cell>
          <cell r="B9067" t="str">
            <v>螺纹钢</v>
          </cell>
          <cell r="C9067" t="str">
            <v>HRB400E Φ22×9米</v>
          </cell>
          <cell r="D9067" t="str">
            <v>吨</v>
          </cell>
          <cell r="E9067">
            <v>10</v>
          </cell>
          <cell r="F9067">
            <v>45958</v>
          </cell>
          <cell r="G9067" t="str">
            <v>自永高速一标二工区（连接线</v>
          </cell>
          <cell r="H9067" t="str">
            <v>余伯宣</v>
          </cell>
          <cell r="I9067">
            <v>13778530969</v>
          </cell>
        </row>
        <row r="9068">
          <cell r="A9068" t="str">
            <v>泸钢</v>
          </cell>
          <cell r="B9068" t="str">
            <v>螺纹钢</v>
          </cell>
          <cell r="C9068" t="str">
            <v>HRB400E Φ20×9米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Φ25×9米</v>
          </cell>
          <cell r="D9069" t="str">
            <v>吨</v>
          </cell>
          <cell r="E9069">
            <v>7.5</v>
          </cell>
          <cell r="F9069">
            <v>45958</v>
          </cell>
          <cell r="G9069" t="str">
            <v>自永高速一标二工区（连接线</v>
          </cell>
          <cell r="H9069" t="str">
            <v>余伯宣</v>
          </cell>
          <cell r="I9069">
            <v>13778530969</v>
          </cell>
        </row>
        <row r="9070">
          <cell r="A9070" t="str">
            <v>泸钢</v>
          </cell>
          <cell r="B9070" t="str">
            <v>螺纹钢</v>
          </cell>
          <cell r="C9070" t="str">
            <v>HRB400E Φ12×9米</v>
          </cell>
          <cell r="D9070" t="str">
            <v>吨</v>
          </cell>
          <cell r="E9070">
            <v>17.5</v>
          </cell>
          <cell r="F9070">
            <v>45958</v>
          </cell>
          <cell r="G9070" t="str">
            <v>（自永高速-自永3标六局交通分公司）四川省内江市隆昌市圣灯镇中心学校</v>
          </cell>
          <cell r="H9070" t="str">
            <v>李宏权</v>
          </cell>
          <cell r="I9070">
            <v>19212995868</v>
          </cell>
        </row>
        <row r="9071">
          <cell r="A9071" t="str">
            <v>泸钢</v>
          </cell>
          <cell r="B9071" t="str">
            <v>高线</v>
          </cell>
          <cell r="C9071" t="str">
            <v>HPB300  Φ12</v>
          </cell>
          <cell r="D9071" t="str">
            <v>吨</v>
          </cell>
          <cell r="E9071">
            <v>2.5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Φ16×9米</v>
          </cell>
          <cell r="D9072" t="str">
            <v>吨</v>
          </cell>
          <cell r="E9072">
            <v>5</v>
          </cell>
          <cell r="F9072">
            <v>45958</v>
          </cell>
          <cell r="G9072" t="str">
            <v>（自永高速-自永3标六局交通分公司）四川省内江市隆昌市圣灯镇中心学校</v>
          </cell>
          <cell r="H9072" t="str">
            <v>李宏权</v>
          </cell>
          <cell r="I9072">
            <v>19212995868</v>
          </cell>
        </row>
        <row r="9073">
          <cell r="A9073" t="str">
            <v>泸钢</v>
          </cell>
          <cell r="B9073" t="str">
            <v>螺纹钢</v>
          </cell>
          <cell r="C9073" t="str">
            <v>HRB400E Φ16×12米</v>
          </cell>
          <cell r="D9073" t="str">
            <v>吨</v>
          </cell>
          <cell r="E9073">
            <v>10</v>
          </cell>
          <cell r="F9073">
            <v>45958</v>
          </cell>
          <cell r="G9073" t="str">
            <v>（自永高速-自永3标六局交通分公司）四川省内江市隆昌市圣灯镇中心学校</v>
          </cell>
          <cell r="H9073" t="str">
            <v>李宏权</v>
          </cell>
          <cell r="I9073">
            <v>19212995868</v>
          </cell>
        </row>
        <row r="9074">
          <cell r="A9074" t="str">
            <v>泸钢</v>
          </cell>
          <cell r="B9074" t="str">
            <v>盘螺</v>
          </cell>
          <cell r="C9074" t="str">
            <v>HRB400E Φ8</v>
          </cell>
          <cell r="D9074" t="str">
            <v>吨</v>
          </cell>
          <cell r="E9074">
            <v>35</v>
          </cell>
          <cell r="F9074">
            <v>45958</v>
          </cell>
          <cell r="G9074" t="str">
            <v>(宜宾兴港三江新区长江工业园保障性租赁住房建设项目-土建)四川省宜宾市翠屏区永善路南段宜宾市三江新区长江工业园区</v>
          </cell>
          <cell r="H9074" t="str">
            <v>赵元虎</v>
          </cell>
          <cell r="I9074">
            <v>13684167136</v>
          </cell>
        </row>
        <row r="9075">
          <cell r="A9075" t="str">
            <v>润耀</v>
          </cell>
          <cell r="B9075" t="str">
            <v>螺纹钢</v>
          </cell>
          <cell r="C9075" t="str">
            <v>HRB400EФ12，12m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润耀</v>
          </cell>
          <cell r="B9076" t="str">
            <v>螺纹钢</v>
          </cell>
          <cell r="C9076" t="str">
            <v>HRB400EФ16，12m</v>
          </cell>
          <cell r="D9076" t="str">
            <v>吨</v>
          </cell>
          <cell r="E9076">
            <v>35</v>
          </cell>
          <cell r="F9076">
            <v>45959</v>
          </cell>
          <cell r="G9076" t="str">
            <v>（中铁广州局-成渝扩容2标）四川省资阳市雁江区石岭镇易家沟2号梁场</v>
          </cell>
          <cell r="H9076" t="str">
            <v>孙鹏飞</v>
          </cell>
          <cell r="I9076">
            <v>18011784798</v>
          </cell>
        </row>
        <row r="9077">
          <cell r="A9077" t="str">
            <v>德胜</v>
          </cell>
          <cell r="B9077" t="str">
            <v>螺纹钢</v>
          </cell>
          <cell r="C9077" t="str">
            <v>HRB400EФ28，12m</v>
          </cell>
          <cell r="D9077" t="str">
            <v>吨</v>
          </cell>
          <cell r="E9077">
            <v>70</v>
          </cell>
          <cell r="F9077">
            <v>45959</v>
          </cell>
          <cell r="G9077" t="str">
            <v>（中铁广州局-成渝扩容2标）四川省内江市资中县双龙镇朱家房子成渝扩容ZCB3-2标1#钢筋厂</v>
          </cell>
          <cell r="H9077" t="str">
            <v>石雄</v>
          </cell>
          <cell r="I9077">
            <v>13268388125</v>
          </cell>
        </row>
        <row r="9078">
          <cell r="A9078" t="str">
            <v>德胜</v>
          </cell>
          <cell r="B9078" t="str">
            <v>螺纹钢</v>
          </cell>
          <cell r="C9078" t="str">
            <v>HRB400EФ12*9m</v>
          </cell>
          <cell r="D9078" t="str">
            <v>吨</v>
          </cell>
          <cell r="E9078">
            <v>30</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HRB500EФ18*9m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v>
          </cell>
          <cell r="B9080" t="str">
            <v>螺纹钢</v>
          </cell>
          <cell r="C9080" t="str">
            <v>HRB500EФ22*9m</v>
          </cell>
          <cell r="D9080" t="str">
            <v>吨</v>
          </cell>
          <cell r="E9080">
            <v>2</v>
          </cell>
          <cell r="F9080">
            <v>45959</v>
          </cell>
          <cell r="G9080" t="str">
            <v>（中核中原-温江北林医养综合体项目）四川省成都市温江区万春大道第三人民医院东</v>
          </cell>
          <cell r="H9080" t="str">
            <v>蔡杰</v>
          </cell>
          <cell r="I9080">
            <v>18875129329</v>
          </cell>
        </row>
        <row r="9081">
          <cell r="A9081" t="str">
            <v>德胜恒嘉</v>
          </cell>
          <cell r="B9081" t="str">
            <v>螺纹钢</v>
          </cell>
          <cell r="C9081" t="str">
            <v>HRB400EФ22*9m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HRB500EФ22*9m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HRB500EФ25*9m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HRB500EФ28*9m</v>
          </cell>
          <cell r="D9084" t="str">
            <v>吨</v>
          </cell>
          <cell r="E9084">
            <v>35</v>
          </cell>
          <cell r="F9084">
            <v>45959</v>
          </cell>
          <cell r="G9084" t="str">
            <v>（中铁六局呼和公司康新高速TJ4-2标）四川省甘孜藏族自治州康定市新都桥镇东俄罗三村中建八局搅拌站旁</v>
          </cell>
          <cell r="H9084" t="str">
            <v>许文刚</v>
          </cell>
          <cell r="I9084">
            <v>15848808186</v>
          </cell>
        </row>
        <row r="9085">
          <cell r="A9085" t="str">
            <v>德胜恒嘉</v>
          </cell>
          <cell r="B9085" t="str">
            <v>螺纹钢</v>
          </cell>
          <cell r="C9085" t="str">
            <v>HRB500EФ25，12m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HRB500EФ28，9m</v>
          </cell>
          <cell r="D9086" t="str">
            <v>吨</v>
          </cell>
          <cell r="E9086">
            <v>70</v>
          </cell>
          <cell r="F9086">
            <v>45959</v>
          </cell>
          <cell r="G9086" t="str">
            <v>（中铁十局-资乐高速4标）四川省眉山市仁寿县彰加镇促进村中铁十局资乐高速1#钢筋场</v>
          </cell>
          <cell r="H9086" t="str">
            <v>杨飞</v>
          </cell>
          <cell r="I9086">
            <v>15667998777</v>
          </cell>
        </row>
        <row r="9087">
          <cell r="A9087" t="str">
            <v>德胜恒嘉</v>
          </cell>
          <cell r="B9087" t="str">
            <v>螺纹钢</v>
          </cell>
          <cell r="C9087" t="str">
            <v>HRB400EФ28，9m</v>
          </cell>
          <cell r="D9087" t="str">
            <v>吨</v>
          </cell>
          <cell r="E9087">
            <v>35</v>
          </cell>
          <cell r="F9087">
            <v>45959</v>
          </cell>
          <cell r="G9087" t="str">
            <v>（中铁十局-资乐高速4标）四川省眉山市仁寿县彰加镇促进村中铁十局资乐高速1#钢筋场</v>
          </cell>
          <cell r="H9087" t="str">
            <v>杨飞</v>
          </cell>
          <cell r="I9087">
            <v>15667998777</v>
          </cell>
        </row>
        <row r="9088">
          <cell r="A9088" t="str">
            <v>润耀</v>
          </cell>
          <cell r="B9088" t="str">
            <v>盘螺</v>
          </cell>
          <cell r="C9088" t="str">
            <v>HRB400EΦ8</v>
          </cell>
          <cell r="D9088" t="str">
            <v>吨</v>
          </cell>
          <cell r="E9088">
            <v>15</v>
          </cell>
          <cell r="F9088">
            <v>45959</v>
          </cell>
          <cell r="G9088" t="str">
            <v>（中核中原-温江光明苑三期项目）四川省成都市温江区金马街道光明苑三期项目</v>
          </cell>
          <cell r="H9088" t="str">
            <v>王生斌</v>
          </cell>
          <cell r="I9088">
            <v>15228858118</v>
          </cell>
        </row>
        <row r="9089">
          <cell r="A9089" t="str">
            <v>润耀</v>
          </cell>
          <cell r="B9089" t="str">
            <v>盘螺</v>
          </cell>
          <cell r="C9089" t="str">
            <v>HRB400EΦ10</v>
          </cell>
          <cell r="D9089" t="str">
            <v>吨</v>
          </cell>
          <cell r="E9089">
            <v>20</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HRB400EФ12*9m</v>
          </cell>
          <cell r="D9090" t="str">
            <v>吨</v>
          </cell>
          <cell r="E9090">
            <v>18</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HRB400EФ16*9m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德胜</v>
          </cell>
          <cell r="B9092" t="str">
            <v>螺纹钢</v>
          </cell>
          <cell r="C9092" t="str">
            <v>HRB400EФ18*9m</v>
          </cell>
          <cell r="D9092" t="str">
            <v>吨</v>
          </cell>
          <cell r="E9092">
            <v>9</v>
          </cell>
          <cell r="F9092">
            <v>45959</v>
          </cell>
          <cell r="G9092" t="str">
            <v>（中核中原-温江光明苑三期项目）四川省成都市温江区金马街道光明苑三期项目</v>
          </cell>
          <cell r="H9092" t="str">
            <v>王生斌</v>
          </cell>
          <cell r="I9092">
            <v>15228858118</v>
          </cell>
        </row>
        <row r="9093">
          <cell r="A9093" t="str">
            <v>润耀</v>
          </cell>
          <cell r="B9093" t="str">
            <v>盘螺</v>
          </cell>
          <cell r="C9093" t="str">
            <v>HRB400E Φ12</v>
          </cell>
          <cell r="D9093" t="str">
            <v>吨</v>
          </cell>
          <cell r="E9093">
            <v>35</v>
          </cell>
          <cell r="F9093">
            <v>45959</v>
          </cell>
          <cell r="G9093" t="str">
            <v>（华西简阳西城嘉苑）四川省成都市简阳市简城街道高屋村</v>
          </cell>
          <cell r="H9093" t="str">
            <v>张瀚镭</v>
          </cell>
          <cell r="I9093">
            <v>15884666220</v>
          </cell>
        </row>
        <row r="9094">
          <cell r="A9094" t="str">
            <v>润耀</v>
          </cell>
          <cell r="B9094" t="str">
            <v>螺纹钢</v>
          </cell>
          <cell r="C9094" t="str">
            <v>HRB400EФ14，12m</v>
          </cell>
          <cell r="D9094" t="str">
            <v>吨</v>
          </cell>
          <cell r="E9094">
            <v>35</v>
          </cell>
          <cell r="F9094">
            <v>45959</v>
          </cell>
          <cell r="G9094" t="str">
            <v>（中铁十局-资乐高速4标）四川省眉山市仁寿县彰加镇促进村中铁十局资乐高速1#钢筋场</v>
          </cell>
          <cell r="H9094" t="str">
            <v>杨飞</v>
          </cell>
          <cell r="I9094">
            <v>15667998777</v>
          </cell>
        </row>
        <row r="9095">
          <cell r="A9095" t="str">
            <v>泸钢</v>
          </cell>
          <cell r="B9095" t="str">
            <v>盘螺</v>
          </cell>
          <cell r="C9095" t="str">
            <v>HRB400E Φ12</v>
          </cell>
          <cell r="D9095" t="str">
            <v>吨</v>
          </cell>
          <cell r="E9095">
            <v>4</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Φ14 9m</v>
          </cell>
          <cell r="D9096" t="str">
            <v>吨</v>
          </cell>
          <cell r="E9096">
            <v>10</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Φ16 9m</v>
          </cell>
          <cell r="D9097" t="str">
            <v>吨</v>
          </cell>
          <cell r="E9097">
            <v>2.5</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Φ20 9m</v>
          </cell>
          <cell r="D9098" t="str">
            <v>吨</v>
          </cell>
          <cell r="E9098">
            <v>10</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Φ22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Φ25 9m</v>
          </cell>
          <cell r="D9100" t="str">
            <v>吨</v>
          </cell>
          <cell r="E9100">
            <v>5</v>
          </cell>
          <cell r="F9100">
            <v>45959</v>
          </cell>
          <cell r="G9100" t="str">
            <v>(五冶建设成都盐道街中学初中部改扩建工程-一标)四川省成都市锦江区春熙路街道盐道街4号（盐道街中学初中部）</v>
          </cell>
          <cell r="H9100" t="str">
            <v>谢鑫</v>
          </cell>
          <cell r="I9100">
            <v>18228465067</v>
          </cell>
        </row>
        <row r="9101">
          <cell r="A9101" t="str">
            <v>泸钢</v>
          </cell>
          <cell r="B9101" t="str">
            <v>螺纹钢</v>
          </cell>
          <cell r="C9101" t="str">
            <v>HRB400E Φ12 9m</v>
          </cell>
          <cell r="D9101" t="str">
            <v>吨</v>
          </cell>
          <cell r="E9101">
            <v>35</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Φ12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Φ14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Φ16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Φ18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Φ20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Φ22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螺纹钢</v>
          </cell>
          <cell r="C9108" t="str">
            <v>HRB400E Φ25 9m</v>
          </cell>
          <cell r="D9108" t="str">
            <v>吨</v>
          </cell>
          <cell r="E9108">
            <v>10</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Φ6</v>
          </cell>
          <cell r="D9109" t="str">
            <v>吨</v>
          </cell>
          <cell r="E9109">
            <v>6</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30</v>
          </cell>
          <cell r="F9110">
            <v>45959</v>
          </cell>
          <cell r="G9110" t="str">
            <v>(五冶钢构龙泉东洪片区70亩住宅、商业及配套工程项目一标段)成都市龙泉驿外东洪路地铁2号线惠王陵地铁C口</v>
          </cell>
          <cell r="H9110" t="str">
            <v>邹爱国</v>
          </cell>
          <cell r="I9110">
            <v>13540231225</v>
          </cell>
        </row>
        <row r="9111">
          <cell r="A9111" t="str">
            <v>泸钢</v>
          </cell>
          <cell r="B9111" t="str">
            <v>盘螺</v>
          </cell>
          <cell r="C9111" t="str">
            <v>HRB400E Φ8</v>
          </cell>
          <cell r="D9111" t="str">
            <v>吨</v>
          </cell>
          <cell r="E9111">
            <v>35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Φ14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Φ16 9m</v>
          </cell>
          <cell r="D9113" t="str">
            <v>吨</v>
          </cell>
          <cell r="E9113">
            <v>12.5</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泸钢</v>
          </cell>
          <cell r="B9114" t="str">
            <v>螺纹钢</v>
          </cell>
          <cell r="C9114" t="str">
            <v>HRB400E Φ18 9m</v>
          </cell>
          <cell r="D9114" t="str">
            <v>吨</v>
          </cell>
          <cell r="E9114">
            <v>10</v>
          </cell>
          <cell r="F9114">
            <v>45959</v>
          </cell>
          <cell r="G9114" t="str">
            <v>(五冶钢构龙泉东洪片区85亩住宅、商业及配套工程项目二标段)成都市龙泉驿外东洪路地铁2号线惠王陵地铁C口</v>
          </cell>
          <cell r="H9114" t="str">
            <v>李渊</v>
          </cell>
          <cell r="I9114">
            <v>18381013849</v>
          </cell>
        </row>
        <row r="9115">
          <cell r="A9115" t="str">
            <v>德胜</v>
          </cell>
          <cell r="B9115" t="str">
            <v>螺纹钢</v>
          </cell>
          <cell r="C9115" t="str">
            <v>HRB500EΦ28*12m</v>
          </cell>
          <cell r="D9115" t="str">
            <v>吨</v>
          </cell>
          <cell r="E9115">
            <v>15</v>
          </cell>
          <cell r="F9115">
            <v>45959</v>
          </cell>
          <cell r="G9115" t="str">
            <v>（成峨1标）眉山市彭山区谢家街道跳墩子</v>
          </cell>
          <cell r="H9115" t="str">
            <v>曾毅</v>
          </cell>
          <cell r="I9115" t="str">
            <v>13982229815</v>
          </cell>
        </row>
        <row r="9116">
          <cell r="A9116" t="str">
            <v>德胜</v>
          </cell>
          <cell r="B9116" t="str">
            <v>螺纹钢</v>
          </cell>
          <cell r="C9116" t="str">
            <v>HRB500EΦ32*12m</v>
          </cell>
          <cell r="D9116" t="str">
            <v>吨</v>
          </cell>
          <cell r="E9116">
            <v>20</v>
          </cell>
          <cell r="F9116">
            <v>45959</v>
          </cell>
          <cell r="G9116" t="str">
            <v>（成峨1标）眉山市彭山区谢家街道跳墩子</v>
          </cell>
          <cell r="H9116" t="str">
            <v>曾毅</v>
          </cell>
          <cell r="I9116" t="str">
            <v>13982229815</v>
          </cell>
        </row>
        <row r="9117">
          <cell r="A9117" t="str">
            <v>德胜</v>
          </cell>
          <cell r="B9117" t="str">
            <v>螺纹钢</v>
          </cell>
          <cell r="C9117" t="str">
            <v>HRB400EΦ14*9m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HRB400EΦ16*9m</v>
          </cell>
          <cell r="D9118" t="str">
            <v>吨</v>
          </cell>
          <cell r="E9118">
            <v>17</v>
          </cell>
          <cell r="F9118">
            <v>45959</v>
          </cell>
          <cell r="G9118" t="str">
            <v>（成峨3标）眉山市丹棱县兴盛路（诺尔电器）成峨TJ3标</v>
          </cell>
          <cell r="H9118" t="str">
            <v>雍朝刚</v>
          </cell>
          <cell r="I9118" t="str">
            <v>19983344290</v>
          </cell>
        </row>
        <row r="9119">
          <cell r="A9119" t="str">
            <v>德胜</v>
          </cell>
          <cell r="B9119" t="str">
            <v>螺纹钢</v>
          </cell>
          <cell r="C9119" t="str">
            <v>HRB500E Φ25</v>
          </cell>
          <cell r="D9119" t="str">
            <v>吨</v>
          </cell>
          <cell r="E9119">
            <v>35</v>
          </cell>
          <cell r="F9119">
            <v>45960</v>
          </cell>
          <cell r="G9119" t="str">
            <v>(五冶建设龙泉驿一医院配套建设工程)成都市龙泉驿区董朗路69号龙泉驿一医院5号门</v>
          </cell>
          <cell r="H9119" t="str">
            <v>孙敏</v>
          </cell>
          <cell r="I9119">
            <v>13617695006</v>
          </cell>
        </row>
        <row r="9120">
          <cell r="A9120" t="str">
            <v>德胜恒嘉</v>
          </cell>
          <cell r="B9120" t="str">
            <v>螺纹钢</v>
          </cell>
          <cell r="C9120" t="str">
            <v>HRB400E Φ22×12米</v>
          </cell>
          <cell r="D9120" t="str">
            <v>吨</v>
          </cell>
          <cell r="E9120">
            <v>35</v>
          </cell>
          <cell r="F9120">
            <v>45960</v>
          </cell>
          <cell r="G9120" t="str">
            <v>（自永1标八局二分公司钢筋棚）四川省自贡市大安区牛佛镇</v>
          </cell>
          <cell r="H9120" t="str">
            <v>刘鑫</v>
          </cell>
          <cell r="I9120">
            <v>18382259456</v>
          </cell>
        </row>
        <row r="9121">
          <cell r="A9121" t="str">
            <v>德胜恒嘉</v>
          </cell>
          <cell r="B9121" t="str">
            <v>螺纹钢</v>
          </cell>
          <cell r="C9121" t="str">
            <v>HRB400E Φ12×12米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Φ32×12米</v>
          </cell>
          <cell r="D9122" t="str">
            <v>吨</v>
          </cell>
          <cell r="E9122">
            <v>70</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Φ28×12米</v>
          </cell>
          <cell r="D9123" t="str">
            <v>吨</v>
          </cell>
          <cell r="E9123">
            <v>65</v>
          </cell>
          <cell r="F9123">
            <v>45960</v>
          </cell>
          <cell r="G9123" t="str">
            <v>自永4标一局四公司（四川省内江市隆昌市兰家花房子自永4标一局四公司钢筋棚）</v>
          </cell>
          <cell r="H9123" t="str">
            <v>郝优</v>
          </cell>
          <cell r="I9123">
            <v>13891371707</v>
          </cell>
        </row>
        <row r="9124">
          <cell r="A9124" t="str">
            <v>德胜恒嘉</v>
          </cell>
          <cell r="B9124" t="str">
            <v>螺纹钢</v>
          </cell>
          <cell r="C9124" t="str">
            <v>HRB400E Φ18×12米</v>
          </cell>
          <cell r="D9124" t="str">
            <v>吨</v>
          </cell>
          <cell r="E9124">
            <v>5</v>
          </cell>
          <cell r="F9124">
            <v>45960</v>
          </cell>
          <cell r="G9124" t="str">
            <v>自永4标一局四公司（四川省内江市隆昌市兰家花房子自永4标一局四公司钢筋棚）</v>
          </cell>
          <cell r="H9124" t="str">
            <v>郝优</v>
          </cell>
          <cell r="I9124">
            <v>13891371707</v>
          </cell>
        </row>
        <row r="9125">
          <cell r="A9125" t="str">
            <v>陕钢</v>
          </cell>
          <cell r="B9125" t="str">
            <v>盘螺</v>
          </cell>
          <cell r="C9125" t="str">
            <v>HRB400EФ10</v>
          </cell>
          <cell r="D9125" t="str">
            <v>吨</v>
          </cell>
          <cell r="E9125">
            <v>105</v>
          </cell>
          <cell r="F9125">
            <v>45960</v>
          </cell>
          <cell r="G9125" t="str">
            <v>（中铁广州局-成渝扩容2标）四川省资阳市雁江区石岭镇易家沟2号梁场</v>
          </cell>
          <cell r="H9125" t="str">
            <v>孙鹏飞</v>
          </cell>
          <cell r="I9125">
            <v>18011784798</v>
          </cell>
        </row>
        <row r="9126">
          <cell r="A9126" t="str">
            <v>润耀</v>
          </cell>
          <cell r="B9126" t="str">
            <v>盘螺</v>
          </cell>
          <cell r="C9126" t="str">
            <v>HRB400EФ12</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润耀</v>
          </cell>
          <cell r="B9127" t="str">
            <v>螺纹钢</v>
          </cell>
          <cell r="C9127" t="str">
            <v>HRB400EФ25，12m</v>
          </cell>
          <cell r="D9127" t="str">
            <v>吨</v>
          </cell>
          <cell r="E9127">
            <v>35</v>
          </cell>
          <cell r="F9127">
            <v>45960</v>
          </cell>
          <cell r="G9127" t="str">
            <v>（中铁广州局-成渝扩容2标）四川省资阳市雁江区南双路杨家糖房</v>
          </cell>
          <cell r="H9127" t="str">
            <v>石雄</v>
          </cell>
          <cell r="I9127">
            <v>13268388125</v>
          </cell>
        </row>
        <row r="9128">
          <cell r="A9128" t="str">
            <v>泸钢</v>
          </cell>
          <cell r="B9128" t="str">
            <v>盘螺</v>
          </cell>
          <cell r="C9128" t="str">
            <v>HRB400E Φ8</v>
          </cell>
          <cell r="D9128" t="str">
            <v>吨</v>
          </cell>
          <cell r="E9128">
            <v>16</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Φ10</v>
          </cell>
          <cell r="D9129" t="str">
            <v>吨</v>
          </cell>
          <cell r="E9129">
            <v>18</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盘螺</v>
          </cell>
          <cell r="C9130" t="str">
            <v>HRB400E Φ12</v>
          </cell>
          <cell r="D9130" t="str">
            <v>吨</v>
          </cell>
          <cell r="E9130">
            <v>6</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Φ12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Φ14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HRB400E Φ16 9m</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Φ14</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Φ18</v>
          </cell>
          <cell r="D9135" t="str">
            <v>吨</v>
          </cell>
          <cell r="E9135">
            <v>3</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Φ20</v>
          </cell>
          <cell r="D9136" t="str">
            <v>吨</v>
          </cell>
          <cell r="E9136">
            <v>12</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螺纹钢</v>
          </cell>
          <cell r="C9137" t="str">
            <v>HRB500E Φ22</v>
          </cell>
          <cell r="D9137" t="str">
            <v>吨</v>
          </cell>
          <cell r="E9137">
            <v>3</v>
          </cell>
          <cell r="F9137">
            <v>45960</v>
          </cell>
          <cell r="G9137" t="str">
            <v>(五冶建设龙泉驿一医院配套建设工程)成都市龙泉驿区董朗路69号龙泉驿一医院5号门</v>
          </cell>
          <cell r="H9137" t="str">
            <v>孙敏</v>
          </cell>
          <cell r="I9137">
            <v>13617695006</v>
          </cell>
        </row>
        <row r="9138">
          <cell r="A9138" t="str">
            <v>泸钢</v>
          </cell>
          <cell r="B9138" t="str">
            <v>盘螺</v>
          </cell>
          <cell r="C9138" t="str">
            <v>HRB400E Φ8</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盘螺</v>
          </cell>
          <cell r="C9139" t="str">
            <v>HRB400E Φ10</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Φ18</v>
          </cell>
          <cell r="D9140" t="str">
            <v>吨</v>
          </cell>
          <cell r="E9140">
            <v>5</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螺纹钢</v>
          </cell>
          <cell r="C9141" t="str">
            <v>HRB500E Φ25</v>
          </cell>
          <cell r="D9141" t="str">
            <v>吨</v>
          </cell>
          <cell r="E9141">
            <v>20</v>
          </cell>
          <cell r="F9141">
            <v>45960</v>
          </cell>
          <cell r="G9141" t="str">
            <v>(五冶建设师大附中外语校新建教学楼工程)四川省成都市成华区大观堰2号(四川师范大学附属中学外国语学校)</v>
          </cell>
          <cell r="H9141" t="str">
            <v>蔡浩</v>
          </cell>
          <cell r="I9141">
            <v>13980880820</v>
          </cell>
        </row>
        <row r="9142">
          <cell r="A9142" t="str">
            <v>泸钢</v>
          </cell>
          <cell r="B9142" t="str">
            <v>盘螺</v>
          </cell>
          <cell r="C9142" t="str">
            <v>HRB400E Φ10</v>
          </cell>
          <cell r="D9142" t="str">
            <v>吨</v>
          </cell>
          <cell r="E9142">
            <v>15</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Φ14 9m</v>
          </cell>
          <cell r="D9143" t="str">
            <v>吨</v>
          </cell>
          <cell r="E9143">
            <v>10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Φ16 9m</v>
          </cell>
          <cell r="D9144" t="str">
            <v>吨</v>
          </cell>
          <cell r="E9144">
            <v>60</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Φ20 9m</v>
          </cell>
          <cell r="D9145" t="str">
            <v>吨</v>
          </cell>
          <cell r="E9145">
            <v>6</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HRB400E Φ25 9m</v>
          </cell>
          <cell r="D9146" t="str">
            <v>吨</v>
          </cell>
          <cell r="E9146">
            <v>10</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Φ12</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Φ16</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Φ20</v>
          </cell>
          <cell r="D9149" t="str">
            <v>吨</v>
          </cell>
          <cell r="E9149">
            <v>3</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Φ22</v>
          </cell>
          <cell r="D9150" t="str">
            <v>吨</v>
          </cell>
          <cell r="E9150">
            <v>6</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v>
          </cell>
          <cell r="B9151" t="str">
            <v>螺纹钢</v>
          </cell>
          <cell r="C9151" t="str">
            <v>HRB500E Φ25</v>
          </cell>
          <cell r="D9151" t="str">
            <v>吨</v>
          </cell>
          <cell r="E9151">
            <v>25</v>
          </cell>
          <cell r="F9151">
            <v>45960</v>
          </cell>
          <cell r="G9151" t="str">
            <v>(五冶钢构龙泉东洪片区70亩住宅、商业及配套工程项目三标段)成都市龙泉驿外东洪路地铁2号线惠王陵地铁C口</v>
          </cell>
          <cell r="H9151" t="str">
            <v>蒋嗣伟</v>
          </cell>
          <cell r="I9151">
            <v>15014331252</v>
          </cell>
        </row>
        <row r="9152">
          <cell r="A9152" t="str">
            <v>泸钢（代）</v>
          </cell>
          <cell r="B9152" t="str">
            <v>盘圆</v>
          </cell>
          <cell r="C9152" t="str">
            <v>HPB300Ф6</v>
          </cell>
          <cell r="D9152" t="str">
            <v>吨</v>
          </cell>
          <cell r="E9152">
            <v>2</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HPB300Ф8</v>
          </cell>
          <cell r="D9153" t="str">
            <v>吨</v>
          </cell>
          <cell r="E9153">
            <v>7</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盘圆</v>
          </cell>
          <cell r="C9154" t="str">
            <v>HPB300Ф10</v>
          </cell>
          <cell r="D9154" t="str">
            <v>吨</v>
          </cell>
          <cell r="E9154">
            <v>6</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盘螺</v>
          </cell>
          <cell r="C9155" t="str">
            <v>HRB400EΦ10</v>
          </cell>
          <cell r="D9155" t="str">
            <v>吨</v>
          </cell>
          <cell r="E9155">
            <v>4</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HRB400EФ12*9m</v>
          </cell>
          <cell r="D9156" t="str">
            <v>吨</v>
          </cell>
          <cell r="E9156">
            <v>8</v>
          </cell>
          <cell r="F9156">
            <v>45960</v>
          </cell>
          <cell r="G9156" t="str">
            <v>（成铁西物-沪昆线龙里改造工程）贵州黔南龙里接触网维修工区施工现场</v>
          </cell>
          <cell r="H9156" t="str">
            <v>黄永福</v>
          </cell>
          <cell r="I9156" t="str">
            <v>15982823571</v>
          </cell>
        </row>
        <row r="9157">
          <cell r="A9157" t="str">
            <v>泸钢（代）</v>
          </cell>
          <cell r="B9157" t="str">
            <v>螺纹钢</v>
          </cell>
          <cell r="C9157" t="str">
            <v>HRB400EФ16*9m</v>
          </cell>
          <cell r="D9157" t="str">
            <v>吨</v>
          </cell>
          <cell r="E9157">
            <v>16</v>
          </cell>
          <cell r="F9157">
            <v>45960</v>
          </cell>
          <cell r="G9157" t="str">
            <v>（成铁西物-沪昆线龙里改造工程）贵州黔南龙里接触网维修工区施工现场</v>
          </cell>
          <cell r="H9157" t="str">
            <v>黄永福</v>
          </cell>
          <cell r="I9157" t="str">
            <v>15982823571</v>
          </cell>
        </row>
        <row r="9158">
          <cell r="A9158" t="str">
            <v>泸钢</v>
          </cell>
          <cell r="B9158" t="str">
            <v>盘圆</v>
          </cell>
          <cell r="C9158" t="str">
            <v>HPB300Φ6mm</v>
          </cell>
          <cell r="D9158" t="str">
            <v>吨</v>
          </cell>
          <cell r="E9158">
            <v>10</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HPB300Φ10mm</v>
          </cell>
          <cell r="D9159" t="str">
            <v>吨</v>
          </cell>
          <cell r="E9159">
            <v>35</v>
          </cell>
          <cell r="F9159">
            <v>45960</v>
          </cell>
          <cell r="G9159" t="str">
            <v>（成峨3标）眉山市丹棱县兴盛路（诺尔电器）成峨TJ3标</v>
          </cell>
          <cell r="H9159" t="str">
            <v>雍朝刚</v>
          </cell>
          <cell r="I9159" t="str">
            <v>19983344290</v>
          </cell>
        </row>
        <row r="9160">
          <cell r="A9160" t="str">
            <v>泸钢</v>
          </cell>
          <cell r="B9160" t="str">
            <v>盘圆</v>
          </cell>
          <cell r="C9160" t="str">
            <v>HPB300Φ12mm</v>
          </cell>
          <cell r="D9160" t="str">
            <v>吨</v>
          </cell>
          <cell r="E9160">
            <v>25</v>
          </cell>
          <cell r="F9160">
            <v>45960</v>
          </cell>
          <cell r="G9160" t="str">
            <v>（成峨3标）眉山市丹棱县兴盛路（诺尔电器）成峨TJ3标</v>
          </cell>
          <cell r="H9160" t="str">
            <v>雍朝刚</v>
          </cell>
          <cell r="I9160" t="str">
            <v>19983344290</v>
          </cell>
        </row>
        <row r="9161">
          <cell r="A9161" t="str">
            <v>德胜</v>
          </cell>
          <cell r="B9161" t="str">
            <v>螺纹钢</v>
          </cell>
          <cell r="C9161" t="str">
            <v>HRB400EΦ12*9m</v>
          </cell>
          <cell r="D9161" t="str">
            <v>吨</v>
          </cell>
          <cell r="E9161">
            <v>35</v>
          </cell>
          <cell r="F9161">
            <v>45960</v>
          </cell>
          <cell r="G9161" t="str">
            <v>（成峨3标）眉山市丹棱县兴盛路（诺尔电器）成峨TJ3标</v>
          </cell>
          <cell r="H9161" t="str">
            <v>雍朝刚</v>
          </cell>
          <cell r="I9161" t="str">
            <v>19983344290</v>
          </cell>
        </row>
        <row r="9162">
          <cell r="A9162" t="str">
            <v>润耀</v>
          </cell>
          <cell r="B9162" t="str">
            <v>盘螺</v>
          </cell>
          <cell r="C9162" t="str">
            <v>HRB400EФ12</v>
          </cell>
          <cell r="D9162" t="str">
            <v>吨</v>
          </cell>
          <cell r="E9162">
            <v>35</v>
          </cell>
          <cell r="F9162">
            <v>45960</v>
          </cell>
          <cell r="G9162" t="str">
            <v>（中铁三局成渝扩容ZCB3-1项目部）内江市胜利收费站红绿灯500米</v>
          </cell>
          <cell r="H9162" t="str">
            <v>王岩</v>
          </cell>
          <cell r="I9162">
            <v>17634813323</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107"/>
  <sheetViews>
    <sheetView tabSelected="1" workbookViewId="0">
      <pane ySplit="1" topLeftCell="A5005" activePane="bottomLeft" state="frozen"/>
      <selection/>
      <selection pane="bottomLeft" activeCell="I5078" sqref="I5078"/>
    </sheetView>
  </sheetViews>
  <sheetFormatPr defaultColWidth="8.875" defaultRowHeight="12"/>
  <cols>
    <col min="1" max="1" width="8.125" style="57" customWidth="1"/>
    <col min="2" max="2" width="47.875" style="58" customWidth="1"/>
    <col min="3" max="3" width="8.875" style="26" customWidth="1"/>
    <col min="4" max="4" width="19.375" style="26" customWidth="1"/>
    <col min="5" max="5" width="7.875" style="26" customWidth="1"/>
    <col min="6" max="6" width="13.625" style="26" customWidth="1"/>
    <col min="7" max="7" width="6.25" style="59" customWidth="1"/>
    <col min="8" max="8" width="7.375" style="60" customWidth="1"/>
    <col min="9" max="9" width="60.5" style="29" customWidth="1"/>
    <col min="10" max="10" width="7" style="26" customWidth="1"/>
    <col min="11" max="11" width="9.625" style="26" customWidth="1"/>
    <col min="12" max="12" width="24.25" style="61" customWidth="1"/>
    <col min="13" max="13" width="8.125" style="62" customWidth="1"/>
    <col min="14" max="14" width="0.875" style="62" customWidth="1"/>
    <col min="15" max="16" width="3.875" style="62" customWidth="1"/>
    <col min="17" max="17" width="79.375" style="29" customWidth="1"/>
    <col min="18" max="18" width="8" style="29" customWidth="1"/>
    <col min="19" max="19" width="8.875" style="26" customWidth="1"/>
    <col min="20" max="16384" width="8.875" style="26"/>
  </cols>
  <sheetData>
    <row r="1" s="56" customFormat="1" ht="24" customHeight="1" spans="1:18">
      <c r="A1"/>
      <c r="B1" s="63" t="s">
        <v>0</v>
      </c>
      <c r="C1" s="64" t="s">
        <v>1</v>
      </c>
      <c r="D1" s="64" t="s">
        <v>2</v>
      </c>
      <c r="E1" s="65" t="s">
        <v>3</v>
      </c>
      <c r="F1" s="65" t="s">
        <v>4</v>
      </c>
      <c r="G1" s="66" t="s">
        <v>5</v>
      </c>
      <c r="H1" s="66" t="s">
        <v>6</v>
      </c>
      <c r="I1" s="65" t="s">
        <v>7</v>
      </c>
      <c r="J1" s="65" t="s">
        <v>8</v>
      </c>
      <c r="K1" s="65" t="s">
        <v>9</v>
      </c>
      <c r="L1" s="72" t="s">
        <v>10</v>
      </c>
      <c r="M1" s="73" t="s">
        <v>11</v>
      </c>
      <c r="N1" s="74" t="s">
        <v>12</v>
      </c>
      <c r="O1" s="74" t="s">
        <v>13</v>
      </c>
      <c r="P1" s="74" t="s">
        <v>14</v>
      </c>
      <c r="Q1" s="81" t="s">
        <v>15</v>
      </c>
      <c r="R1" s="81" t="s">
        <v>16</v>
      </c>
    </row>
    <row r="2" hidden="1" spans="2:18">
      <c r="B2" s="67" t="s">
        <v>17</v>
      </c>
      <c r="C2" s="68">
        <v>45658</v>
      </c>
      <c r="D2" s="67" t="str">
        <f>VLOOKUP(B2,辅助信息!E:K,7,FALSE)</f>
        <v>JWDDCD2024101600090</v>
      </c>
      <c r="E2" s="67" t="str">
        <f>VLOOKUP(F2,辅助信息!A:B,2,FALSE)</f>
        <v>螺纹钢</v>
      </c>
      <c r="F2" s="67" t="s">
        <v>18</v>
      </c>
      <c r="G2" s="69">
        <v>69</v>
      </c>
      <c r="H2" s="69" t="e">
        <f>_xlfn._xlws.FILTER(#REF!,#REF!&amp;#REF!&amp;#REF!&amp;#REF!=C2&amp;F2&amp;I2&amp;J2,"未发货")</f>
        <v>#REF!</v>
      </c>
      <c r="I2" s="67" t="str">
        <f>VLOOKUP(B2,辅助信息!E:I,3,FALSE)</f>
        <v>（达州市公共卫生临床医疗中心项目-一标-1号制作房）达州市通川区西外复兴镇公共卫生临床医疗中心项目</v>
      </c>
      <c r="J2" s="67" t="str">
        <f>VLOOKUP(B2,辅助信息!E:I,4,FALSE)</f>
        <v>潘建发</v>
      </c>
      <c r="K2" s="67">
        <f>VLOOKUP(J2,辅助信息!H:I,2,FALSE)</f>
        <v>13658059919</v>
      </c>
      <c r="L2" s="75" t="str">
        <f>VLOOKUP(B2,辅助信息!E:J,6,FALSE)</f>
        <v>提前联系到场规格,一天到场车辆不低于2车</v>
      </c>
      <c r="M2" s="75"/>
      <c r="N2" s="75"/>
      <c r="O2" s="75"/>
      <c r="P2" s="75"/>
      <c r="Q2" s="67" t="str">
        <f>VLOOKUP(B2,辅助信息!E:M,9,FALSE)</f>
        <v>ZTWM-CDGS-XS-2024-0205-五冶钢构-达州市通川区西外复兴镇及临近片区建设项目</v>
      </c>
      <c r="R2" s="26"/>
    </row>
    <row r="3" hidden="1" spans="2:18">
      <c r="B3" s="40" t="s">
        <v>17</v>
      </c>
      <c r="C3" s="70">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6"/>
      <c r="M3" s="77"/>
      <c r="N3" s="77"/>
      <c r="O3" s="77"/>
      <c r="P3" s="77"/>
      <c r="Q3" s="40" t="str">
        <f>VLOOKUP(B3,辅助信息!E:M,9,FALSE)</f>
        <v>ZTWM-CDGS-XS-2024-0205-五冶钢构-达州市通川区西外复兴镇及临近片区建设项目</v>
      </c>
      <c r="R3" s="26"/>
    </row>
    <row r="4" hidden="1" spans="2:18">
      <c r="B4" s="40" t="s">
        <v>20</v>
      </c>
      <c r="C4" s="70">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7" t="str">
        <f>VLOOKUP(B4,辅助信息!E:J,6,FALSE)</f>
        <v>送货单：送货单位：南充思临新材料科技有限公司,收货单位：五冶集团川北(南充)建设有限公司,项目名称：南充医学科学产业园,送货车型13米,装货前联系收货人核实到场规格</v>
      </c>
      <c r="M4" s="77"/>
      <c r="N4" s="77"/>
      <c r="O4" s="77"/>
      <c r="P4" s="77"/>
      <c r="Q4" s="40" t="str">
        <f>VLOOKUP(B4,辅助信息!E:M,9,FALSE)</f>
        <v>ZTWM-CDGS-XS-2024-0248-五冶钢构-南充市医学院项目</v>
      </c>
      <c r="R4" s="26"/>
    </row>
    <row r="5" hidden="1" spans="2:18">
      <c r="B5" s="40" t="s">
        <v>20</v>
      </c>
      <c r="C5" s="70">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8"/>
      <c r="M5" s="77"/>
      <c r="N5" s="77"/>
      <c r="O5" s="77"/>
      <c r="P5" s="77"/>
      <c r="Q5" s="40" t="str">
        <f>VLOOKUP(B5,辅助信息!E:M,9,FALSE)</f>
        <v>ZTWM-CDGS-XS-2024-0248-五冶钢构-南充市医学院项目</v>
      </c>
      <c r="R5" s="26"/>
    </row>
    <row r="6" hidden="1" spans="2:18">
      <c r="B6" s="40" t="s">
        <v>23</v>
      </c>
      <c r="C6" s="70">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8"/>
      <c r="M6" s="77"/>
      <c r="N6" s="77"/>
      <c r="O6" s="77"/>
      <c r="P6" s="77"/>
      <c r="Q6" s="40" t="str">
        <f>VLOOKUP(B6,辅助信息!E:M,9,FALSE)</f>
        <v>ZTWM-CDGS-XS-2024-0248-五冶钢构-南充市医学院项目</v>
      </c>
      <c r="R6" s="26"/>
    </row>
    <row r="7" hidden="1" spans="2:18">
      <c r="B7" s="40" t="s">
        <v>23</v>
      </c>
      <c r="C7" s="70">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8"/>
      <c r="M7" s="77"/>
      <c r="N7" s="77"/>
      <c r="O7" s="77"/>
      <c r="P7" s="77"/>
      <c r="Q7" s="40" t="str">
        <f>VLOOKUP(B7,辅助信息!E:M,9,FALSE)</f>
        <v>ZTWM-CDGS-XS-2024-0248-五冶钢构-南充市医学院项目</v>
      </c>
      <c r="R7" s="26"/>
    </row>
    <row r="8" hidden="1" spans="2:18">
      <c r="B8" s="40" t="s">
        <v>24</v>
      </c>
      <c r="C8" s="70">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6"/>
      <c r="M8" s="77"/>
      <c r="N8" s="77"/>
      <c r="O8" s="77"/>
      <c r="P8" s="77"/>
      <c r="Q8" s="40"/>
      <c r="R8" s="26"/>
    </row>
    <row r="9" hidden="1" spans="2:18">
      <c r="B9" s="40" t="s">
        <v>25</v>
      </c>
      <c r="C9" s="70">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7" t="e">
        <f>VLOOKUP(B9,辅助信息!E:J,6,FALSE)</f>
        <v>#N/A</v>
      </c>
      <c r="M9" s="77"/>
      <c r="N9" s="77"/>
      <c r="O9" s="77"/>
      <c r="P9" s="77"/>
      <c r="Q9" s="40" t="e">
        <f>VLOOKUP(B9,辅助信息!E:M,9,FALSE)</f>
        <v>#N/A</v>
      </c>
      <c r="R9" s="26"/>
    </row>
    <row r="10" hidden="1" spans="2:18">
      <c r="B10" s="40" t="s">
        <v>25</v>
      </c>
      <c r="C10" s="70">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8"/>
      <c r="M10" s="77"/>
      <c r="N10" s="77"/>
      <c r="O10" s="77"/>
      <c r="P10" s="77"/>
      <c r="Q10" s="40" t="e">
        <f>VLOOKUP(B10,辅助信息!E:M,9,FALSE)</f>
        <v>#N/A</v>
      </c>
      <c r="R10" s="26"/>
    </row>
    <row r="11" hidden="1" spans="2:18">
      <c r="B11" s="40" t="s">
        <v>25</v>
      </c>
      <c r="C11" s="70">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8"/>
      <c r="M11" s="77"/>
      <c r="N11" s="77"/>
      <c r="O11" s="77"/>
      <c r="P11" s="77"/>
      <c r="Q11" s="40" t="e">
        <f>VLOOKUP(B11,辅助信息!E:M,9,FALSE)</f>
        <v>#N/A</v>
      </c>
      <c r="R11" s="26"/>
    </row>
    <row r="12" hidden="1" spans="2:18">
      <c r="B12" s="40" t="s">
        <v>25</v>
      </c>
      <c r="C12" s="70">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6"/>
      <c r="M12" s="77"/>
      <c r="N12" s="77"/>
      <c r="O12" s="77"/>
      <c r="P12" s="77"/>
      <c r="Q12" s="40" t="e">
        <f>VLOOKUP(B12,辅助信息!E:M,9,FALSE)</f>
        <v>#N/A</v>
      </c>
      <c r="R12" s="26"/>
    </row>
    <row r="13" ht="56.25" hidden="1" customHeight="1" spans="2:18">
      <c r="B13" s="40" t="s">
        <v>29</v>
      </c>
      <c r="C13" s="70">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7" t="e">
        <f>VLOOKUP(B13,辅助信息!E:J,6,FALSE)</f>
        <v>#N/A</v>
      </c>
      <c r="M13" s="77"/>
      <c r="N13" s="77"/>
      <c r="O13" s="77"/>
      <c r="P13" s="77"/>
      <c r="Q13" s="40"/>
      <c r="R13" s="26"/>
    </row>
    <row r="14" hidden="1" spans="2:18">
      <c r="B14" s="40" t="s">
        <v>31</v>
      </c>
      <c r="C14" s="70">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7" t="str">
        <f>VLOOKUP(B14,辅助信息!E:J,6,FALSE)</f>
        <v>提前联系到场规格及数量</v>
      </c>
      <c r="M14" s="77"/>
      <c r="N14" s="77"/>
      <c r="O14" s="77"/>
      <c r="P14" s="77"/>
      <c r="Q14" s="40" t="str">
        <f>VLOOKUP(B14,辅助信息!E:M,9,FALSE)</f>
        <v>ZTWM-CDGS-XS-2024-0179-四川商投-射洪城乡一体化建设项目</v>
      </c>
      <c r="R14" s="26"/>
    </row>
    <row r="15" hidden="1" spans="2:18">
      <c r="B15" s="40" t="s">
        <v>31</v>
      </c>
      <c r="C15" s="70">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8"/>
      <c r="M15" s="77"/>
      <c r="N15" s="77"/>
      <c r="O15" s="77"/>
      <c r="P15" s="77"/>
      <c r="Q15" s="40" t="str">
        <f>VLOOKUP(B15,辅助信息!E:M,9,FALSE)</f>
        <v>ZTWM-CDGS-XS-2024-0179-四川商投-射洪城乡一体化建设项目</v>
      </c>
      <c r="R15" s="26"/>
    </row>
    <row r="16" hidden="1" spans="2:18">
      <c r="B16" s="40" t="s">
        <v>31</v>
      </c>
      <c r="C16" s="70">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8"/>
      <c r="M16" s="77"/>
      <c r="N16" s="77"/>
      <c r="O16" s="77"/>
      <c r="P16" s="77"/>
      <c r="Q16" s="40" t="str">
        <f>VLOOKUP(B16,辅助信息!E:M,9,FALSE)</f>
        <v>ZTWM-CDGS-XS-2024-0179-四川商投-射洪城乡一体化建设项目</v>
      </c>
      <c r="R16" s="26"/>
    </row>
    <row r="17" hidden="1" spans="2:18">
      <c r="B17" s="40" t="s">
        <v>31</v>
      </c>
      <c r="C17" s="70">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6"/>
      <c r="M17" s="77"/>
      <c r="N17" s="77"/>
      <c r="O17" s="77"/>
      <c r="P17" s="77"/>
      <c r="Q17" s="40" t="str">
        <f>VLOOKUP(B17,辅助信息!E:M,9,FALSE)</f>
        <v>ZTWM-CDGS-XS-2024-0179-四川商投-射洪城乡一体化建设项目</v>
      </c>
      <c r="R17" s="26"/>
    </row>
    <row r="18" hidden="1" spans="2:18">
      <c r="B18" s="40" t="s">
        <v>17</v>
      </c>
      <c r="C18" s="70">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7" t="s">
        <v>34</v>
      </c>
      <c r="M18" s="77"/>
      <c r="N18" s="77"/>
      <c r="O18" s="77"/>
      <c r="P18" s="77"/>
      <c r="Q18" s="40" t="str">
        <f>VLOOKUP(B18,辅助信息!E:M,9,FALSE)</f>
        <v>ZTWM-CDGS-XS-2024-0205-五冶钢构-达州市通川区西外复兴镇及临近片区建设项目</v>
      </c>
      <c r="R18" s="26"/>
    </row>
    <row r="19" hidden="1" spans="2:18">
      <c r="B19" s="40" t="s">
        <v>17</v>
      </c>
      <c r="C19" s="70">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6"/>
      <c r="M19" s="77"/>
      <c r="N19" s="77"/>
      <c r="O19" s="77"/>
      <c r="P19" s="77"/>
      <c r="Q19" s="40" t="str">
        <f>VLOOKUP(B19,辅助信息!E:M,9,FALSE)</f>
        <v>ZTWM-CDGS-XS-2024-0205-五冶钢构-达州市通川区西外复兴镇及临近片区建设项目</v>
      </c>
      <c r="R19" s="26"/>
    </row>
    <row r="20" hidden="1" spans="2:18">
      <c r="B20" s="40" t="s">
        <v>24</v>
      </c>
      <c r="C20" s="70">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7"/>
      <c r="M20" s="77"/>
      <c r="N20" s="77"/>
      <c r="O20" s="77"/>
      <c r="P20" s="77"/>
      <c r="Q20" s="40" t="str">
        <f>VLOOKUP(B20,辅助信息!E:M,9,FALSE)</f>
        <v>ZTWM-CDGS-XS-2024-0248-五冶钢构-南充市医学院项目</v>
      </c>
      <c r="R20" s="26"/>
    </row>
    <row r="21" hidden="1" spans="2:18">
      <c r="B21" s="40" t="s">
        <v>24</v>
      </c>
      <c r="C21" s="70">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7" t="s">
        <v>35</v>
      </c>
      <c r="M21" s="77"/>
      <c r="N21" s="77"/>
      <c r="O21" s="77"/>
      <c r="P21" s="77"/>
      <c r="Q21" s="40" t="str">
        <f>VLOOKUP(B21,辅助信息!E:M,9,FALSE)</f>
        <v>ZTWM-CDGS-XS-2024-0248-五冶钢构-南充市医学院项目</v>
      </c>
      <c r="R21" s="26"/>
    </row>
    <row r="22" hidden="1" spans="2:18">
      <c r="B22" s="40" t="s">
        <v>24</v>
      </c>
      <c r="C22" s="70">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6"/>
      <c r="M22" s="77"/>
      <c r="N22" s="77"/>
      <c r="O22" s="77"/>
      <c r="P22" s="77"/>
      <c r="Q22" s="40" t="str">
        <f>VLOOKUP(B22,辅助信息!E:M,9,FALSE)</f>
        <v>ZTWM-CDGS-XS-2024-0248-五冶钢构-南充市医学院项目</v>
      </c>
      <c r="R22" s="26"/>
    </row>
    <row r="23" hidden="1" spans="2:18">
      <c r="B23" s="40" t="s">
        <v>25</v>
      </c>
      <c r="C23" s="70">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7" t="s">
        <v>36</v>
      </c>
      <c r="M23" s="77"/>
      <c r="N23" s="77"/>
      <c r="O23" s="77"/>
      <c r="P23" s="77"/>
      <c r="Q23" s="40" t="e">
        <f>VLOOKUP(B23,辅助信息!E:M,9,FALSE)</f>
        <v>#N/A</v>
      </c>
      <c r="R23" s="26"/>
    </row>
    <row r="24" hidden="1" spans="2:18">
      <c r="B24" s="40" t="s">
        <v>25</v>
      </c>
      <c r="C24" s="70">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8"/>
      <c r="M24" s="77"/>
      <c r="N24" s="77"/>
      <c r="O24" s="77"/>
      <c r="P24" s="77"/>
      <c r="Q24" s="40" t="e">
        <f>VLOOKUP(B24,辅助信息!E:M,9,FALSE)</f>
        <v>#N/A</v>
      </c>
      <c r="R24" s="26"/>
    </row>
    <row r="25" hidden="1" spans="2:18">
      <c r="B25" s="40" t="s">
        <v>25</v>
      </c>
      <c r="C25" s="70">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8"/>
      <c r="M25" s="77"/>
      <c r="N25" s="77"/>
      <c r="O25" s="77"/>
      <c r="P25" s="77"/>
      <c r="Q25" s="40" t="e">
        <f>VLOOKUP(B25,辅助信息!E:M,9,FALSE)</f>
        <v>#N/A</v>
      </c>
      <c r="R25" s="26"/>
    </row>
    <row r="26" hidden="1" spans="2:18">
      <c r="B26" s="40" t="s">
        <v>25</v>
      </c>
      <c r="C26" s="70">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6"/>
      <c r="M26" s="77"/>
      <c r="N26" s="77"/>
      <c r="O26" s="77"/>
      <c r="P26" s="77"/>
      <c r="Q26" s="40" t="e">
        <f>VLOOKUP(B26,辅助信息!E:M,9,FALSE)</f>
        <v>#N/A</v>
      </c>
      <c r="R26" s="26"/>
    </row>
    <row r="27" ht="56.25" hidden="1" customHeight="1" spans="2:18">
      <c r="B27" s="40" t="s">
        <v>29</v>
      </c>
      <c r="C27" s="70">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7" t="s">
        <v>37</v>
      </c>
      <c r="M27" s="77"/>
      <c r="N27" s="77"/>
      <c r="O27" s="77"/>
      <c r="P27" s="77"/>
      <c r="Q27" s="40" t="e">
        <f>VLOOKUP(B27,辅助信息!E:M,9,FALSE)</f>
        <v>#N/A</v>
      </c>
      <c r="R27" s="26"/>
    </row>
    <row r="28" hidden="1" spans="2:18">
      <c r="B28" s="40" t="s">
        <v>31</v>
      </c>
      <c r="C28" s="70">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7" t="s">
        <v>38</v>
      </c>
      <c r="M28" s="77"/>
      <c r="N28" s="77"/>
      <c r="O28" s="77"/>
      <c r="P28" s="77"/>
      <c r="Q28" s="40" t="str">
        <f>VLOOKUP(B28,辅助信息!E:M,9,FALSE)</f>
        <v>ZTWM-CDGS-XS-2024-0179-四川商投-射洪城乡一体化建设项目</v>
      </c>
      <c r="R28" s="26"/>
    </row>
    <row r="29" hidden="1" spans="2:18">
      <c r="B29" s="40" t="s">
        <v>31</v>
      </c>
      <c r="C29" s="70">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8"/>
      <c r="M29" s="77"/>
      <c r="N29" s="77"/>
      <c r="O29" s="77"/>
      <c r="P29" s="77"/>
      <c r="Q29" s="40" t="str">
        <f>VLOOKUP(B29,辅助信息!E:M,9,FALSE)</f>
        <v>ZTWM-CDGS-XS-2024-0179-四川商投-射洪城乡一体化建设项目</v>
      </c>
      <c r="R29" s="26"/>
    </row>
    <row r="30" hidden="1" spans="2:18">
      <c r="B30" s="40" t="s">
        <v>31</v>
      </c>
      <c r="C30" s="70">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8"/>
      <c r="M30" s="77"/>
      <c r="N30" s="77"/>
      <c r="O30" s="77"/>
      <c r="P30" s="77"/>
      <c r="Q30" s="40" t="str">
        <f>VLOOKUP(B30,辅助信息!E:M,9,FALSE)</f>
        <v>ZTWM-CDGS-XS-2024-0179-四川商投-射洪城乡一体化建设项目</v>
      </c>
      <c r="R30" s="26"/>
    </row>
    <row r="31" hidden="1" spans="2:18">
      <c r="B31" s="40" t="s">
        <v>31</v>
      </c>
      <c r="C31" s="70">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6"/>
      <c r="M31" s="77"/>
      <c r="N31" s="77"/>
      <c r="O31" s="77"/>
      <c r="P31" s="77"/>
      <c r="Q31" s="40" t="str">
        <f>VLOOKUP(B31,辅助信息!E:M,9,FALSE)</f>
        <v>ZTWM-CDGS-XS-2024-0179-四川商投-射洪城乡一体化建设项目</v>
      </c>
      <c r="R31" s="26"/>
    </row>
    <row r="32" hidden="1" spans="2:18">
      <c r="B32" s="40" t="s">
        <v>39</v>
      </c>
      <c r="C32" s="70">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79">
        <f>VLOOKUP(J32,辅助信息!H:I,2,FALSE)</f>
        <v>13658059919</v>
      </c>
      <c r="L32" s="80" t="s">
        <v>34</v>
      </c>
      <c r="M32" s="80"/>
      <c r="N32" s="80"/>
      <c r="O32" s="80"/>
      <c r="P32" s="80"/>
      <c r="Q32" s="40" t="str">
        <f>VLOOKUP(B32,辅助信息!E:M,9,FALSE)</f>
        <v>ZTWM-CDGS-XS-2024-0205-五冶钢构-达州市通川区西外复兴镇及临近片区建设项目</v>
      </c>
      <c r="R32" s="26"/>
    </row>
    <row r="33" hidden="1" spans="2:18">
      <c r="B33" s="40" t="s">
        <v>39</v>
      </c>
      <c r="C33" s="70">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79">
        <f>VLOOKUP(J33,辅助信息!H:I,2,FALSE)</f>
        <v>13658059919</v>
      </c>
      <c r="M33" s="57"/>
      <c r="N33" s="57"/>
      <c r="O33" s="57"/>
      <c r="P33" s="57"/>
      <c r="Q33" s="40" t="str">
        <f>VLOOKUP(B33,辅助信息!E:M,9,FALSE)</f>
        <v>ZTWM-CDGS-XS-2024-0205-五冶钢构-达州市通川区西外复兴镇及临近片区建设项目</v>
      </c>
      <c r="R33" s="26"/>
    </row>
    <row r="34" hidden="1" spans="2:18">
      <c r="B34" s="40" t="s">
        <v>39</v>
      </c>
      <c r="C34" s="70">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79">
        <f>VLOOKUP(J34,辅助信息!H:I,2,FALSE)</f>
        <v>13658059919</v>
      </c>
      <c r="M34" s="57"/>
      <c r="N34" s="57"/>
      <c r="O34" s="57"/>
      <c r="P34" s="57"/>
      <c r="Q34" s="40" t="str">
        <f>VLOOKUP(B34,辅助信息!E:M,9,FALSE)</f>
        <v>ZTWM-CDGS-XS-2024-0205-五冶钢构-达州市通川区西外复兴镇及临近片区建设项目</v>
      </c>
      <c r="R34" s="26"/>
    </row>
    <row r="35" hidden="1" spans="2:18">
      <c r="B35" s="40" t="s">
        <v>39</v>
      </c>
      <c r="C35" s="70">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79">
        <f>VLOOKUP(J35,辅助信息!H:I,2,FALSE)</f>
        <v>13658059919</v>
      </c>
      <c r="M35" s="57"/>
      <c r="N35" s="57"/>
      <c r="O35" s="57"/>
      <c r="P35" s="57"/>
      <c r="Q35" s="40" t="str">
        <f>VLOOKUP(B35,辅助信息!E:M,9,FALSE)</f>
        <v>ZTWM-CDGS-XS-2024-0205-五冶钢构-达州市通川区西外复兴镇及临近片区建设项目</v>
      </c>
      <c r="R35" s="26"/>
    </row>
    <row r="36" hidden="1" spans="2:18">
      <c r="B36" s="40" t="s">
        <v>39</v>
      </c>
      <c r="C36" s="70">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79">
        <f>VLOOKUP(J36,辅助信息!H:I,2,FALSE)</f>
        <v>13658059919</v>
      </c>
      <c r="M36" s="57"/>
      <c r="N36" s="57"/>
      <c r="O36" s="57"/>
      <c r="P36" s="57"/>
      <c r="Q36" s="40" t="str">
        <f>VLOOKUP(B36,辅助信息!E:M,9,FALSE)</f>
        <v>ZTWM-CDGS-XS-2024-0205-五冶钢构-达州市通川区西外复兴镇及临近片区建设项目</v>
      </c>
      <c r="R36" s="26"/>
    </row>
    <row r="37" hidden="1" spans="2:18">
      <c r="B37" s="40" t="s">
        <v>39</v>
      </c>
      <c r="C37" s="70">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79">
        <f>VLOOKUP(J37,辅助信息!H:I,2,FALSE)</f>
        <v>13658059919</v>
      </c>
      <c r="M37" s="57"/>
      <c r="N37" s="57"/>
      <c r="O37" s="57"/>
      <c r="P37" s="57"/>
      <c r="Q37" s="40" t="str">
        <f>VLOOKUP(B37,辅助信息!E:M,9,FALSE)</f>
        <v>ZTWM-CDGS-XS-2024-0205-五冶钢构-达州市通川区西外复兴镇及临近片区建设项目</v>
      </c>
      <c r="R37" s="26"/>
    </row>
    <row r="38" hidden="1" spans="2:18">
      <c r="B38" s="40" t="s">
        <v>39</v>
      </c>
      <c r="C38" s="70">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79">
        <f>VLOOKUP(J38,辅助信息!H:I,2,FALSE)</f>
        <v>13658059919</v>
      </c>
      <c r="M38" s="57"/>
      <c r="N38" s="57"/>
      <c r="O38" s="57"/>
      <c r="P38" s="57"/>
      <c r="Q38" s="40" t="str">
        <f>VLOOKUP(B38,辅助信息!E:M,9,FALSE)</f>
        <v>ZTWM-CDGS-XS-2024-0205-五冶钢构-达州市通川区西外复兴镇及临近片区建设项目</v>
      </c>
      <c r="R38" s="26"/>
    </row>
    <row r="39" hidden="1" spans="2:18">
      <c r="B39" s="40" t="s">
        <v>39</v>
      </c>
      <c r="C39" s="70">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79">
        <f>VLOOKUP(J39,辅助信息!H:I,2,FALSE)</f>
        <v>13658059919</v>
      </c>
      <c r="M39" s="57"/>
      <c r="N39" s="57"/>
      <c r="O39" s="57"/>
      <c r="P39" s="57"/>
      <c r="Q39" s="40" t="str">
        <f>VLOOKUP(B39,辅助信息!E:M,9,FALSE)</f>
        <v>ZTWM-CDGS-XS-2024-0205-五冶钢构-达州市通川区西外复兴镇及临近片区建设项目</v>
      </c>
      <c r="R39" s="26"/>
    </row>
    <row r="40" hidden="1" spans="2:18">
      <c r="B40" s="40" t="s">
        <v>17</v>
      </c>
      <c r="C40" s="70">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0" t="s">
        <v>34</v>
      </c>
      <c r="M40" s="80"/>
      <c r="N40" s="80"/>
      <c r="O40" s="80"/>
      <c r="P40" s="80"/>
      <c r="Q40" s="40" t="str">
        <f>VLOOKUP(B40,辅助信息!E:M,9,FALSE)</f>
        <v>ZTWM-CDGS-XS-2024-0205-五冶钢构-达州市通川区西外复兴镇及临近片区建设项目</v>
      </c>
      <c r="R40" s="26"/>
    </row>
    <row r="41" hidden="1" spans="2:18">
      <c r="B41" s="40" t="s">
        <v>17</v>
      </c>
      <c r="C41" s="70">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7"/>
      <c r="N41" s="57"/>
      <c r="O41" s="57"/>
      <c r="P41" s="57"/>
      <c r="Q41" s="40" t="str">
        <f>VLOOKUP(B41,辅助信息!E:M,9,FALSE)</f>
        <v>ZTWM-CDGS-XS-2024-0205-五冶钢构-达州市通川区西外复兴镇及临近片区建设项目</v>
      </c>
      <c r="R41" s="26"/>
    </row>
    <row r="42" hidden="1" spans="2:18">
      <c r="B42" s="40" t="s">
        <v>17</v>
      </c>
      <c r="C42" s="70">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7"/>
      <c r="N42" s="57"/>
      <c r="O42" s="57"/>
      <c r="P42" s="57"/>
      <c r="Q42" s="40" t="str">
        <f>VLOOKUP(B42,辅助信息!E:M,9,FALSE)</f>
        <v>ZTWM-CDGS-XS-2024-0205-五冶钢构-达州市通川区西外复兴镇及临近片区建设项目</v>
      </c>
      <c r="R42" s="26"/>
    </row>
    <row r="43" hidden="1" spans="2:18">
      <c r="B43" s="40" t="s">
        <v>17</v>
      </c>
      <c r="C43" s="70">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7"/>
      <c r="N43" s="57"/>
      <c r="O43" s="57"/>
      <c r="P43" s="57"/>
      <c r="Q43" s="40" t="str">
        <f>VLOOKUP(B43,辅助信息!E:M,9,FALSE)</f>
        <v>ZTWM-CDGS-XS-2024-0205-五冶钢构-达州市通川区西外复兴镇及临近片区建设项目</v>
      </c>
      <c r="R43" s="26"/>
    </row>
    <row r="44" hidden="1" spans="2:18">
      <c r="B44" s="40" t="s">
        <v>17</v>
      </c>
      <c r="C44" s="70">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7"/>
      <c r="N44" s="57"/>
      <c r="O44" s="57"/>
      <c r="P44" s="57"/>
      <c r="Q44" s="40" t="str">
        <f>VLOOKUP(B44,辅助信息!E:M,9,FALSE)</f>
        <v>ZTWM-CDGS-XS-2024-0205-五冶钢构-达州市通川区西外复兴镇及临近片区建设项目</v>
      </c>
      <c r="R44" s="26"/>
    </row>
    <row r="45" hidden="1" spans="1:18">
      <c r="A45" s="71" t="s">
        <v>42</v>
      </c>
      <c r="B45" s="40" t="s">
        <v>43</v>
      </c>
      <c r="C45" s="70">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7" t="s">
        <v>34</v>
      </c>
      <c r="M45" s="77"/>
      <c r="N45" s="77"/>
      <c r="O45" s="77"/>
      <c r="P45" s="77"/>
      <c r="Q45" s="40" t="str">
        <f>VLOOKUP(B45,辅助信息!E:M,9,FALSE)</f>
        <v>ZTWM-CDGS-XS-2024-0205-五冶钢构-达州市通川区西外复兴镇及临近片区建设项目</v>
      </c>
      <c r="R45" s="26"/>
    </row>
    <row r="46" hidden="1" spans="2:18">
      <c r="B46" s="40" t="s">
        <v>43</v>
      </c>
      <c r="C46" s="70">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8"/>
      <c r="M46" s="77"/>
      <c r="N46" s="77"/>
      <c r="O46" s="77"/>
      <c r="P46" s="77"/>
      <c r="Q46" s="40" t="str">
        <f>VLOOKUP(B46,辅助信息!E:M,9,FALSE)</f>
        <v>ZTWM-CDGS-XS-2024-0205-五冶钢构-达州市通川区西外复兴镇及临近片区建设项目</v>
      </c>
      <c r="R46" s="26"/>
    </row>
    <row r="47" hidden="1" spans="2:18">
      <c r="B47" s="40" t="s">
        <v>43</v>
      </c>
      <c r="C47" s="70">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8"/>
      <c r="M47" s="77"/>
      <c r="N47" s="77"/>
      <c r="O47" s="77"/>
      <c r="P47" s="77"/>
      <c r="Q47" s="40" t="str">
        <f>VLOOKUP(B47,辅助信息!E:M,9,FALSE)</f>
        <v>ZTWM-CDGS-XS-2024-0205-五冶钢构-达州市通川区西外复兴镇及临近片区建设项目</v>
      </c>
      <c r="R47" s="26"/>
    </row>
    <row r="48" hidden="1" spans="2:18">
      <c r="B48" s="40" t="s">
        <v>43</v>
      </c>
      <c r="C48" s="70">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8"/>
      <c r="M48" s="77"/>
      <c r="N48" s="77"/>
      <c r="O48" s="77"/>
      <c r="P48" s="77"/>
      <c r="Q48" s="40" t="str">
        <f>VLOOKUP(B48,辅助信息!E:M,9,FALSE)</f>
        <v>ZTWM-CDGS-XS-2024-0205-五冶钢构-达州市通川区西外复兴镇及临近片区建设项目</v>
      </c>
      <c r="R48" s="26"/>
    </row>
    <row r="49" hidden="1" spans="2:18">
      <c r="B49" s="40" t="s">
        <v>43</v>
      </c>
      <c r="C49" s="70">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6"/>
      <c r="M49" s="77"/>
      <c r="N49" s="77"/>
      <c r="O49" s="77"/>
      <c r="P49" s="77"/>
      <c r="Q49" s="40" t="str">
        <f>VLOOKUP(B49,辅助信息!E:M,9,FALSE)</f>
        <v>ZTWM-CDGS-XS-2024-0205-五冶钢构-达州市通川区西外复兴镇及临近片区建设项目</v>
      </c>
      <c r="R49" s="26"/>
    </row>
    <row r="50" hidden="1" spans="2:18">
      <c r="B50" s="40" t="s">
        <v>44</v>
      </c>
      <c r="C50" s="70">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7" t="s">
        <v>34</v>
      </c>
      <c r="M50" s="77"/>
      <c r="N50" s="77"/>
      <c r="O50" s="77"/>
      <c r="P50" s="77"/>
      <c r="Q50" s="40" t="str">
        <f>VLOOKUP(B50,辅助信息!E:M,9,FALSE)</f>
        <v>ZTWM-CDGS-XS-2024-0189-华西集采-酒城南项目</v>
      </c>
      <c r="R50" s="26"/>
    </row>
    <row r="51" hidden="1" spans="2:18">
      <c r="B51" s="40" t="s">
        <v>44</v>
      </c>
      <c r="C51" s="70">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8"/>
      <c r="M51" s="77"/>
      <c r="N51" s="77"/>
      <c r="O51" s="77"/>
      <c r="P51" s="77"/>
      <c r="Q51" s="40" t="str">
        <f>VLOOKUP(B51,辅助信息!E:M,9,FALSE)</f>
        <v>ZTWM-CDGS-XS-2024-0189-华西集采-酒城南项目</v>
      </c>
      <c r="R51" s="26"/>
    </row>
    <row r="52" hidden="1" spans="2:18">
      <c r="B52" s="40" t="s">
        <v>44</v>
      </c>
      <c r="C52" s="70">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8"/>
      <c r="M52" s="77"/>
      <c r="N52" s="77"/>
      <c r="O52" s="77"/>
      <c r="P52" s="77"/>
      <c r="Q52" s="40" t="str">
        <f>VLOOKUP(B52,辅助信息!E:M,9,FALSE)</f>
        <v>ZTWM-CDGS-XS-2024-0189-华西集采-酒城南项目</v>
      </c>
      <c r="R52" s="26"/>
    </row>
    <row r="53" hidden="1" spans="2:18">
      <c r="B53" s="40" t="s">
        <v>44</v>
      </c>
      <c r="C53" s="70">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8"/>
      <c r="M53" s="77"/>
      <c r="N53" s="77"/>
      <c r="O53" s="77"/>
      <c r="P53" s="77"/>
      <c r="Q53" s="40" t="str">
        <f>VLOOKUP(B53,辅助信息!E:M,9,FALSE)</f>
        <v>ZTWM-CDGS-XS-2024-0189-华西集采-酒城南项目</v>
      </c>
      <c r="R53" s="26"/>
    </row>
    <row r="54" hidden="1" spans="2:18">
      <c r="B54" s="40" t="s">
        <v>44</v>
      </c>
      <c r="C54" s="70">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8"/>
      <c r="M54" s="77"/>
      <c r="N54" s="77"/>
      <c r="O54" s="77"/>
      <c r="P54" s="77"/>
      <c r="Q54" s="40" t="str">
        <f>VLOOKUP(B54,辅助信息!E:M,9,FALSE)</f>
        <v>ZTWM-CDGS-XS-2024-0189-华西集采-酒城南项目</v>
      </c>
      <c r="R54" s="26"/>
    </row>
    <row r="55" hidden="1" spans="2:18">
      <c r="B55" s="40" t="s">
        <v>44</v>
      </c>
      <c r="C55" s="70">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8"/>
      <c r="M55" s="77"/>
      <c r="N55" s="77"/>
      <c r="O55" s="77"/>
      <c r="P55" s="77"/>
      <c r="Q55" s="40" t="str">
        <f>VLOOKUP(B55,辅助信息!E:M,9,FALSE)</f>
        <v>ZTWM-CDGS-XS-2024-0189-华西集采-酒城南项目</v>
      </c>
      <c r="R55" s="26"/>
    </row>
    <row r="56" hidden="1" spans="2:18">
      <c r="B56" s="40" t="s">
        <v>44</v>
      </c>
      <c r="C56" s="70">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8"/>
      <c r="M56" s="77"/>
      <c r="N56" s="77"/>
      <c r="O56" s="77"/>
      <c r="P56" s="77"/>
      <c r="Q56" s="40" t="str">
        <f>VLOOKUP(B56,辅助信息!E:M,9,FALSE)</f>
        <v>ZTWM-CDGS-XS-2024-0189-华西集采-酒城南项目</v>
      </c>
      <c r="R56" s="26"/>
    </row>
    <row r="57" hidden="1" spans="2:18">
      <c r="B57" s="40" t="s">
        <v>44</v>
      </c>
      <c r="C57" s="70">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8"/>
      <c r="M57" s="77"/>
      <c r="N57" s="77"/>
      <c r="O57" s="77"/>
      <c r="P57" s="77"/>
      <c r="Q57" s="40" t="str">
        <f>VLOOKUP(B57,辅助信息!E:M,9,FALSE)</f>
        <v>ZTWM-CDGS-XS-2024-0189-华西集采-酒城南项目</v>
      </c>
      <c r="R57" s="26"/>
    </row>
    <row r="58" hidden="1" spans="2:18">
      <c r="B58" s="40" t="s">
        <v>44</v>
      </c>
      <c r="C58" s="70">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8"/>
      <c r="M58" s="77"/>
      <c r="N58" s="77"/>
      <c r="O58" s="77"/>
      <c r="P58" s="77"/>
      <c r="Q58" s="40" t="str">
        <f>VLOOKUP(B58,辅助信息!E:M,9,FALSE)</f>
        <v>ZTWM-CDGS-XS-2024-0189-华西集采-酒城南项目</v>
      </c>
      <c r="R58" s="26"/>
    </row>
    <row r="59" hidden="1" spans="2:18">
      <c r="B59" s="40" t="s">
        <v>44</v>
      </c>
      <c r="C59" s="70">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6"/>
      <c r="M59" s="77"/>
      <c r="N59" s="77"/>
      <c r="O59" s="77"/>
      <c r="P59" s="77"/>
      <c r="Q59" s="40" t="str">
        <f>VLOOKUP(B59,辅助信息!E:M,9,FALSE)</f>
        <v>ZTWM-CDGS-XS-2024-0189-华西集采-酒城南项目</v>
      </c>
      <c r="R59" s="26"/>
    </row>
    <row r="60" ht="22.5" hidden="1" customHeight="1" spans="2:18">
      <c r="B60" s="40" t="s">
        <v>17</v>
      </c>
      <c r="C60" s="70">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7" t="s">
        <v>34</v>
      </c>
      <c r="M60" s="77"/>
      <c r="N60" s="77"/>
      <c r="O60" s="77"/>
      <c r="P60" s="77"/>
      <c r="Q60" s="40" t="str">
        <f>VLOOKUP(B60,辅助信息!E:M,9,FALSE)</f>
        <v>ZTWM-CDGS-XS-2024-0205-五冶钢构-达州市通川区西外复兴镇及临近片区建设项目</v>
      </c>
      <c r="R60" s="26"/>
    </row>
    <row r="61" hidden="1" spans="2:18">
      <c r="B61" s="40" t="s">
        <v>24</v>
      </c>
      <c r="C61" s="70">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7" t="s">
        <v>35</v>
      </c>
      <c r="M61" s="77"/>
      <c r="N61" s="77"/>
      <c r="O61" s="77"/>
      <c r="P61" s="77"/>
      <c r="Q61" s="40" t="str">
        <f>VLOOKUP(B61,辅助信息!E:M,9,FALSE)</f>
        <v>ZTWM-CDGS-XS-2024-0248-五冶钢构-南充市医学院项目</v>
      </c>
      <c r="R61" s="26"/>
    </row>
    <row r="62" hidden="1" spans="2:18">
      <c r="B62" s="40" t="s">
        <v>24</v>
      </c>
      <c r="C62" s="70">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6"/>
      <c r="M62" s="77"/>
      <c r="N62" s="77"/>
      <c r="O62" s="77"/>
      <c r="P62" s="77"/>
      <c r="Q62" s="40" t="str">
        <f>VLOOKUP(B62,辅助信息!E:M,9,FALSE)</f>
        <v>ZTWM-CDGS-XS-2024-0248-五冶钢构-南充市医学院项目</v>
      </c>
      <c r="R62" s="26"/>
    </row>
    <row r="63" hidden="1" spans="2:18">
      <c r="B63" s="40" t="s">
        <v>25</v>
      </c>
      <c r="C63" s="70">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7" t="s">
        <v>36</v>
      </c>
      <c r="M63" s="77"/>
      <c r="N63" s="77"/>
      <c r="O63" s="77"/>
      <c r="P63" s="77"/>
      <c r="Q63" s="40" t="e">
        <f>VLOOKUP(B63,辅助信息!E:M,9,FALSE)</f>
        <v>#N/A</v>
      </c>
      <c r="R63" s="26"/>
    </row>
    <row r="64" hidden="1" spans="2:18">
      <c r="B64" s="40" t="s">
        <v>25</v>
      </c>
      <c r="C64" s="70">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8"/>
      <c r="M64" s="77"/>
      <c r="N64" s="77"/>
      <c r="O64" s="77"/>
      <c r="P64" s="77"/>
      <c r="Q64" s="40" t="e">
        <f>VLOOKUP(B64,辅助信息!E:M,9,FALSE)</f>
        <v>#N/A</v>
      </c>
      <c r="R64" s="26"/>
    </row>
    <row r="65" hidden="1" spans="2:18">
      <c r="B65" s="40" t="s">
        <v>25</v>
      </c>
      <c r="C65" s="70">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8"/>
      <c r="M65" s="77"/>
      <c r="N65" s="77"/>
      <c r="O65" s="77"/>
      <c r="P65" s="77"/>
      <c r="Q65" s="40" t="e">
        <f>VLOOKUP(B65,辅助信息!E:M,9,FALSE)</f>
        <v>#N/A</v>
      </c>
      <c r="R65" s="26"/>
    </row>
    <row r="66" hidden="1" spans="2:18">
      <c r="B66" s="40" t="s">
        <v>25</v>
      </c>
      <c r="C66" s="70">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6"/>
      <c r="M66" s="77"/>
      <c r="N66" s="77"/>
      <c r="O66" s="77"/>
      <c r="P66" s="77"/>
      <c r="Q66" s="40" t="e">
        <f>VLOOKUP(B66,辅助信息!E:M,9,FALSE)</f>
        <v>#N/A</v>
      </c>
      <c r="R66" s="26"/>
    </row>
    <row r="67" hidden="1" spans="2:18">
      <c r="B67" s="40" t="s">
        <v>39</v>
      </c>
      <c r="C67" s="70">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7" t="s">
        <v>37</v>
      </c>
      <c r="M67" s="77"/>
      <c r="N67" s="77"/>
      <c r="O67" s="77"/>
      <c r="P67" s="77"/>
      <c r="Q67" s="40" t="str">
        <f>VLOOKUP(B67,辅助信息!E:M,9,FALSE)</f>
        <v>ZTWM-CDGS-XS-2024-0205-五冶钢构-达州市通川区西外复兴镇及临近片区建设项目</v>
      </c>
      <c r="R67" s="26"/>
    </row>
    <row r="68" hidden="1" spans="2:18">
      <c r="B68" s="40" t="s">
        <v>39</v>
      </c>
      <c r="C68" s="70">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8"/>
      <c r="M68" s="77"/>
      <c r="N68" s="77"/>
      <c r="O68" s="77"/>
      <c r="P68" s="77"/>
      <c r="Q68" s="40" t="str">
        <f>VLOOKUP(B68,辅助信息!E:M,9,FALSE)</f>
        <v>ZTWM-CDGS-XS-2024-0205-五冶钢构-达州市通川区西外复兴镇及临近片区建设项目</v>
      </c>
      <c r="R68" s="26"/>
    </row>
    <row r="69" hidden="1" spans="2:18">
      <c r="B69" s="40" t="s">
        <v>17</v>
      </c>
      <c r="C69" s="70">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8"/>
      <c r="M69" s="77"/>
      <c r="N69" s="77"/>
      <c r="O69" s="77"/>
      <c r="P69" s="77"/>
      <c r="Q69" s="40" t="str">
        <f>VLOOKUP(B69,辅助信息!E:M,9,FALSE)</f>
        <v>ZTWM-CDGS-XS-2024-0205-五冶钢构-达州市通川区西外复兴镇及临近片区建设项目</v>
      </c>
      <c r="R69" s="26"/>
    </row>
    <row r="70" hidden="1" spans="2:18">
      <c r="B70" s="40" t="s">
        <v>17</v>
      </c>
      <c r="C70" s="70">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8"/>
      <c r="M70" s="77"/>
      <c r="N70" s="77"/>
      <c r="O70" s="77"/>
      <c r="P70" s="77"/>
      <c r="Q70" s="40" t="str">
        <f>VLOOKUP(B70,辅助信息!E:M,9,FALSE)</f>
        <v>ZTWM-CDGS-XS-2024-0205-五冶钢构-达州市通川区西外复兴镇及临近片区建设项目</v>
      </c>
      <c r="R70" s="26"/>
    </row>
    <row r="71" hidden="1" spans="2:18">
      <c r="B71" s="40" t="s">
        <v>17</v>
      </c>
      <c r="C71" s="70">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8"/>
      <c r="M71" s="77"/>
      <c r="N71" s="77"/>
      <c r="O71" s="77"/>
      <c r="P71" s="77"/>
      <c r="Q71" s="40" t="str">
        <f>VLOOKUP(B71,辅助信息!E:M,9,FALSE)</f>
        <v>ZTWM-CDGS-XS-2024-0205-五冶钢构-达州市通川区西外复兴镇及临近片区建设项目</v>
      </c>
      <c r="R71" s="26"/>
    </row>
    <row r="72" hidden="1" spans="2:18">
      <c r="B72" s="40" t="s">
        <v>17</v>
      </c>
      <c r="C72" s="70">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6"/>
      <c r="M72" s="77"/>
      <c r="N72" s="77"/>
      <c r="O72" s="77"/>
      <c r="P72" s="77"/>
      <c r="Q72" s="40" t="str">
        <f>VLOOKUP(B72,辅助信息!E:M,9,FALSE)</f>
        <v>ZTWM-CDGS-XS-2024-0205-五冶钢构-达州市通川区西外复兴镇及临近片区建设项目</v>
      </c>
      <c r="R72" s="26"/>
    </row>
    <row r="73" hidden="1" spans="2:18">
      <c r="B73" s="40" t="s">
        <v>43</v>
      </c>
      <c r="C73" s="70">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7" t="s">
        <v>34</v>
      </c>
      <c r="M73" s="77"/>
      <c r="N73" s="77"/>
      <c r="O73" s="77"/>
      <c r="P73" s="77"/>
      <c r="Q73" s="40" t="str">
        <f>VLOOKUP(B73,辅助信息!E:M,9,FALSE)</f>
        <v>ZTWM-CDGS-XS-2024-0205-五冶钢构-达州市通川区西外复兴镇及临近片区建设项目</v>
      </c>
      <c r="R73" s="26"/>
    </row>
    <row r="74" hidden="1" spans="2:18">
      <c r="B74" s="40" t="s">
        <v>43</v>
      </c>
      <c r="C74" s="70">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6"/>
      <c r="M74" s="77"/>
      <c r="N74" s="77"/>
      <c r="O74" s="77"/>
      <c r="P74" s="77"/>
      <c r="Q74" s="40" t="str">
        <f>VLOOKUP(B74,辅助信息!E:M,9,FALSE)</f>
        <v>ZTWM-CDGS-XS-2024-0205-五冶钢构-达州市通川区西外复兴镇及临近片区建设项目</v>
      </c>
      <c r="R74" s="26"/>
    </row>
    <row r="75" hidden="1" spans="2:18">
      <c r="B75" s="40" t="s">
        <v>44</v>
      </c>
      <c r="C75" s="70">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7" t="s">
        <v>34</v>
      </c>
      <c r="M75" s="77"/>
      <c r="N75" s="77"/>
      <c r="O75" s="77"/>
      <c r="P75" s="77"/>
      <c r="Q75" s="40" t="str">
        <f>VLOOKUP(B75,辅助信息!E:M,9,FALSE)</f>
        <v>ZTWM-CDGS-XS-2024-0189-华西集采-酒城南项目</v>
      </c>
      <c r="R75" s="26"/>
    </row>
    <row r="76" hidden="1" spans="2:18">
      <c r="B76" s="40" t="s">
        <v>44</v>
      </c>
      <c r="C76" s="70">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8"/>
      <c r="M76" s="77"/>
      <c r="N76" s="77"/>
      <c r="O76" s="77"/>
      <c r="P76" s="77"/>
      <c r="Q76" s="40" t="str">
        <f>VLOOKUP(B76,辅助信息!E:M,9,FALSE)</f>
        <v>ZTWM-CDGS-XS-2024-0189-华西集采-酒城南项目</v>
      </c>
      <c r="R76" s="26"/>
    </row>
    <row r="77" hidden="1" spans="2:18">
      <c r="B77" s="40" t="s">
        <v>44</v>
      </c>
      <c r="C77" s="70">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8"/>
      <c r="M77" s="77"/>
      <c r="N77" s="77"/>
      <c r="O77" s="77"/>
      <c r="P77" s="77"/>
      <c r="Q77" s="40" t="str">
        <f>VLOOKUP(B77,辅助信息!E:M,9,FALSE)</f>
        <v>ZTWM-CDGS-XS-2024-0189-华西集采-酒城南项目</v>
      </c>
      <c r="R77" s="26"/>
    </row>
    <row r="78" hidden="1" spans="2:18">
      <c r="B78" s="40" t="s">
        <v>44</v>
      </c>
      <c r="C78" s="70">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8"/>
      <c r="M78" s="77"/>
      <c r="N78" s="77"/>
      <c r="O78" s="77"/>
      <c r="P78" s="77"/>
      <c r="Q78" s="40" t="str">
        <f>VLOOKUP(B78,辅助信息!E:M,9,FALSE)</f>
        <v>ZTWM-CDGS-XS-2024-0189-华西集采-酒城南项目</v>
      </c>
      <c r="R78" s="26"/>
    </row>
    <row r="79" hidden="1" spans="2:18">
      <c r="B79" s="40" t="s">
        <v>44</v>
      </c>
      <c r="C79" s="70">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8"/>
      <c r="M79" s="77"/>
      <c r="N79" s="77"/>
      <c r="O79" s="77"/>
      <c r="P79" s="77"/>
      <c r="Q79" s="40" t="str">
        <f>VLOOKUP(B79,辅助信息!E:M,9,FALSE)</f>
        <v>ZTWM-CDGS-XS-2024-0189-华西集采-酒城南项目</v>
      </c>
      <c r="R79" s="26"/>
    </row>
    <row r="80" hidden="1" spans="2:18">
      <c r="B80" s="40" t="s">
        <v>44</v>
      </c>
      <c r="C80" s="70">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8"/>
      <c r="M80" s="77"/>
      <c r="N80" s="77"/>
      <c r="O80" s="77"/>
      <c r="P80" s="77"/>
      <c r="Q80" s="40" t="str">
        <f>VLOOKUP(B80,辅助信息!E:M,9,FALSE)</f>
        <v>ZTWM-CDGS-XS-2024-0189-华西集采-酒城南项目</v>
      </c>
      <c r="R80" s="26"/>
    </row>
    <row r="81" hidden="1" spans="2:18">
      <c r="B81" s="40" t="s">
        <v>44</v>
      </c>
      <c r="C81" s="70">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8"/>
      <c r="M81" s="77"/>
      <c r="N81" s="77"/>
      <c r="O81" s="77"/>
      <c r="P81" s="77"/>
      <c r="Q81" s="40" t="str">
        <f>VLOOKUP(B81,辅助信息!E:M,9,FALSE)</f>
        <v>ZTWM-CDGS-XS-2024-0189-华西集采-酒城南项目</v>
      </c>
      <c r="R81" s="26"/>
    </row>
    <row r="82" hidden="1" spans="2:18">
      <c r="B82" s="40" t="s">
        <v>44</v>
      </c>
      <c r="C82" s="70">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8"/>
      <c r="M82" s="77"/>
      <c r="N82" s="77"/>
      <c r="O82" s="77"/>
      <c r="P82" s="77"/>
      <c r="Q82" s="40" t="str">
        <f>VLOOKUP(B82,辅助信息!E:M,9,FALSE)</f>
        <v>ZTWM-CDGS-XS-2024-0189-华西集采-酒城南项目</v>
      </c>
      <c r="R82" s="26"/>
    </row>
    <row r="83" hidden="1" spans="2:18">
      <c r="B83" s="40" t="s">
        <v>44</v>
      </c>
      <c r="C83" s="70">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8"/>
      <c r="M83" s="77"/>
      <c r="N83" s="77"/>
      <c r="O83" s="77"/>
      <c r="P83" s="77"/>
      <c r="Q83" s="40" t="str">
        <f>VLOOKUP(B83,辅助信息!E:M,9,FALSE)</f>
        <v>ZTWM-CDGS-XS-2024-0189-华西集采-酒城南项目</v>
      </c>
      <c r="R83" s="26"/>
    </row>
    <row r="84" hidden="1" spans="2:18">
      <c r="B84" s="40" t="s">
        <v>44</v>
      </c>
      <c r="C84" s="70">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6"/>
      <c r="M84" s="77"/>
      <c r="N84" s="77"/>
      <c r="O84" s="77"/>
      <c r="P84" s="77"/>
      <c r="Q84" s="40" t="str">
        <f>VLOOKUP(B84,辅助信息!E:M,9,FALSE)</f>
        <v>ZTWM-CDGS-XS-2024-0189-华西集采-酒城南项目</v>
      </c>
      <c r="R84" s="26"/>
    </row>
    <row r="85" hidden="1" spans="2:18">
      <c r="B85" s="40" t="s">
        <v>47</v>
      </c>
      <c r="C85" s="70">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7" t="s">
        <v>34</v>
      </c>
      <c r="M85" s="77"/>
      <c r="N85" s="77"/>
      <c r="O85" s="77"/>
      <c r="P85" s="77"/>
      <c r="Q85" s="40" t="str">
        <f>VLOOKUP(B85,辅助信息!E:M,9,FALSE)</f>
        <v>ZTWM-CDGS-XS-2024-0134-商投建工达州中医药科技成果示范园项目</v>
      </c>
      <c r="R85" s="26"/>
    </row>
    <row r="86" hidden="1" spans="2:18">
      <c r="B86" s="40" t="s">
        <v>47</v>
      </c>
      <c r="C86" s="70">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8"/>
      <c r="M86" s="77"/>
      <c r="N86" s="77"/>
      <c r="O86" s="77"/>
      <c r="P86" s="77"/>
      <c r="Q86" s="40" t="str">
        <f>VLOOKUP(B86,辅助信息!E:M,9,FALSE)</f>
        <v>ZTWM-CDGS-XS-2024-0134-商投建工达州中医药科技成果示范园项目</v>
      </c>
      <c r="R86" s="26"/>
    </row>
    <row r="87" hidden="1" spans="2:18">
      <c r="B87" s="40" t="s">
        <v>47</v>
      </c>
      <c r="C87" s="70">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8"/>
      <c r="M87" s="77"/>
      <c r="N87" s="77"/>
      <c r="O87" s="77"/>
      <c r="P87" s="77"/>
      <c r="Q87" s="40" t="str">
        <f>VLOOKUP(B87,辅助信息!E:M,9,FALSE)</f>
        <v>ZTWM-CDGS-XS-2024-0134-商投建工达州中医药科技成果示范园项目</v>
      </c>
      <c r="R87" s="26"/>
    </row>
    <row r="88" hidden="1" spans="2:18">
      <c r="B88" s="40" t="s">
        <v>47</v>
      </c>
      <c r="C88" s="70">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6"/>
      <c r="M88" s="77"/>
      <c r="N88" s="77"/>
      <c r="O88" s="77"/>
      <c r="P88" s="77"/>
      <c r="Q88" s="40" t="str">
        <f>VLOOKUP(B88,辅助信息!E:M,9,FALSE)</f>
        <v>ZTWM-CDGS-XS-2024-0134-商投建工达州中医药科技成果示范园项目</v>
      </c>
      <c r="R88" s="26"/>
    </row>
    <row r="89" hidden="1" spans="2:18">
      <c r="B89" s="40" t="s">
        <v>48</v>
      </c>
      <c r="C89" s="70">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7" t="s">
        <v>34</v>
      </c>
      <c r="M89" s="77"/>
      <c r="N89" s="77"/>
      <c r="O89" s="77"/>
      <c r="P89" s="77"/>
      <c r="Q89" s="40" t="str">
        <f>VLOOKUP(B89,辅助信息!E:M,9,FALSE)</f>
        <v>ZTWM-CDGS-XS-2024-0093-华西-颐海科创农业生态谷</v>
      </c>
      <c r="R89" s="26"/>
    </row>
    <row r="90" hidden="1" spans="2:18">
      <c r="B90" s="40" t="s">
        <v>48</v>
      </c>
      <c r="C90" s="70">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8"/>
      <c r="M90" s="77"/>
      <c r="N90" s="77"/>
      <c r="O90" s="77"/>
      <c r="P90" s="77"/>
      <c r="Q90" s="40" t="str">
        <f>VLOOKUP(B90,辅助信息!E:M,9,FALSE)</f>
        <v>ZTWM-CDGS-XS-2024-0093-华西-颐海科创农业生态谷</v>
      </c>
      <c r="R90" s="26"/>
    </row>
    <row r="91" hidden="1" spans="2:18">
      <c r="B91" s="40" t="s">
        <v>48</v>
      </c>
      <c r="C91" s="70">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6"/>
      <c r="M91" s="77"/>
      <c r="N91" s="77"/>
      <c r="O91" s="77"/>
      <c r="P91" s="77"/>
      <c r="Q91" s="40" t="str">
        <f>VLOOKUP(B91,辅助信息!E:M,9,FALSE)</f>
        <v>ZTWM-CDGS-XS-2024-0093-华西-颐海科创农业生态谷</v>
      </c>
      <c r="R91" s="26"/>
    </row>
    <row r="92" ht="22.5" hidden="1" customHeight="1" spans="2:18">
      <c r="B92" s="40" t="s">
        <v>17</v>
      </c>
      <c r="C92" s="70">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7" t="str">
        <f>VLOOKUP(B92,辅助信息!E:J,6,FALSE)</f>
        <v>提前联系到场规格,一天到场车辆不低于2车</v>
      </c>
      <c r="M92" s="77"/>
      <c r="N92" s="77"/>
      <c r="O92" s="77"/>
      <c r="P92" s="77"/>
      <c r="Q92" s="40" t="str">
        <f>VLOOKUP(B92,辅助信息!E:M,9,FALSE)</f>
        <v>ZTWM-CDGS-XS-2024-0205-五冶钢构-达州市通川区西外复兴镇及临近片区建设项目</v>
      </c>
      <c r="R92" s="26"/>
    </row>
    <row r="93" hidden="1" spans="2:18">
      <c r="B93" s="40" t="s">
        <v>24</v>
      </c>
      <c r="C93" s="70">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7" t="str">
        <f>VLOOKUP(B93,辅助信息!E:J,6,FALSE)</f>
        <v>送货单：送货单位：南充思临新材料科技有限公司,收货单位：五冶集团川北(南充)建设有限公司,项目名称：南充医学科学产业园,送货车型13米,装货前联系收货人核实到场规格</v>
      </c>
      <c r="M93" s="77"/>
      <c r="N93" s="77"/>
      <c r="O93" s="77"/>
      <c r="P93" s="77"/>
      <c r="Q93" s="40" t="str">
        <f>VLOOKUP(B93,辅助信息!E:M,9,FALSE)</f>
        <v>ZTWM-CDGS-XS-2024-0248-五冶钢构-南充市医学院项目</v>
      </c>
      <c r="R93" s="26"/>
    </row>
    <row r="94" hidden="1" spans="2:18">
      <c r="B94" s="40" t="s">
        <v>24</v>
      </c>
      <c r="C94" s="70">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6"/>
      <c r="M94" s="77"/>
      <c r="N94" s="77"/>
      <c r="O94" s="77"/>
      <c r="P94" s="77"/>
      <c r="Q94" s="40" t="str">
        <f>VLOOKUP(B94,辅助信息!E:M,9,FALSE)</f>
        <v>ZTWM-CDGS-XS-2024-0248-五冶钢构-南充市医学院项目</v>
      </c>
      <c r="R94" s="26"/>
    </row>
    <row r="95" hidden="1" spans="2:18">
      <c r="B95" s="40" t="s">
        <v>25</v>
      </c>
      <c r="C95" s="70">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7" t="e">
        <f>VLOOKUP(B95,辅助信息!E:J,6,FALSE)</f>
        <v>#N/A</v>
      </c>
      <c r="M95" s="77"/>
      <c r="N95" s="77"/>
      <c r="O95" s="77"/>
      <c r="P95" s="77"/>
      <c r="Q95" s="40" t="e">
        <f>VLOOKUP(B95,辅助信息!E:M,9,FALSE)</f>
        <v>#N/A</v>
      </c>
      <c r="R95" s="26"/>
    </row>
    <row r="96" hidden="1" spans="2:18">
      <c r="B96" s="40" t="s">
        <v>25</v>
      </c>
      <c r="C96" s="70">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8"/>
      <c r="M96" s="77"/>
      <c r="N96" s="77"/>
      <c r="O96" s="77"/>
      <c r="P96" s="77"/>
      <c r="Q96" s="40" t="e">
        <f>VLOOKUP(B96,辅助信息!E:M,9,FALSE)</f>
        <v>#N/A</v>
      </c>
      <c r="R96" s="26"/>
    </row>
    <row r="97" hidden="1" spans="2:18">
      <c r="B97" s="40" t="s">
        <v>25</v>
      </c>
      <c r="C97" s="70">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8"/>
      <c r="M97" s="77"/>
      <c r="N97" s="77"/>
      <c r="O97" s="77"/>
      <c r="P97" s="77"/>
      <c r="Q97" s="40" t="e">
        <f>VLOOKUP(B97,辅助信息!E:M,9,FALSE)</f>
        <v>#N/A</v>
      </c>
      <c r="R97" s="26"/>
    </row>
    <row r="98" hidden="1" spans="2:18">
      <c r="B98" s="40" t="s">
        <v>25</v>
      </c>
      <c r="C98" s="70">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6"/>
      <c r="M98" s="77"/>
      <c r="N98" s="77"/>
      <c r="O98" s="77"/>
      <c r="P98" s="77"/>
      <c r="Q98" s="40" t="e">
        <f>VLOOKUP(B98,辅助信息!E:M,9,FALSE)</f>
        <v>#N/A</v>
      </c>
      <c r="R98" s="26"/>
    </row>
    <row r="99" hidden="1" spans="2:18">
      <c r="B99" s="40" t="s">
        <v>39</v>
      </c>
      <c r="C99" s="70">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7" t="str">
        <f>VLOOKUP(B99,辅助信息!E:J,6,FALSE)</f>
        <v>提前联系到场规格,一天到场车辆不低于2车</v>
      </c>
      <c r="M99" s="77"/>
      <c r="N99" s="77"/>
      <c r="O99" s="77"/>
      <c r="P99" s="77"/>
      <c r="Q99" s="40" t="str">
        <f>VLOOKUP(B99,辅助信息!E:M,9,FALSE)</f>
        <v>ZTWM-CDGS-XS-2024-0205-五冶钢构-达州市通川区西外复兴镇及临近片区建设项目</v>
      </c>
      <c r="R99" s="26"/>
    </row>
    <row r="100" hidden="1" spans="2:18">
      <c r="B100" s="40" t="s">
        <v>39</v>
      </c>
      <c r="C100" s="70">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8"/>
      <c r="M100" s="77"/>
      <c r="N100" s="77"/>
      <c r="O100" s="77"/>
      <c r="P100" s="77"/>
      <c r="Q100" s="40" t="str">
        <f>VLOOKUP(B100,辅助信息!E:M,9,FALSE)</f>
        <v>ZTWM-CDGS-XS-2024-0205-五冶钢构-达州市通川区西外复兴镇及临近片区建设项目</v>
      </c>
      <c r="R100" s="26"/>
    </row>
    <row r="101" hidden="1" spans="2:18">
      <c r="B101" s="40" t="s">
        <v>17</v>
      </c>
      <c r="C101" s="70">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8"/>
      <c r="M101" s="77"/>
      <c r="N101" s="77"/>
      <c r="O101" s="77"/>
      <c r="P101" s="77"/>
      <c r="Q101" s="40" t="str">
        <f>VLOOKUP(B101,辅助信息!E:M,9,FALSE)</f>
        <v>ZTWM-CDGS-XS-2024-0205-五冶钢构-达州市通川区西外复兴镇及临近片区建设项目</v>
      </c>
      <c r="R101" s="26"/>
    </row>
    <row r="102" hidden="1" spans="2:18">
      <c r="B102" s="40" t="s">
        <v>17</v>
      </c>
      <c r="C102" s="70">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8"/>
      <c r="M102" s="77"/>
      <c r="N102" s="77"/>
      <c r="O102" s="77"/>
      <c r="P102" s="77"/>
      <c r="Q102" s="40" t="str">
        <f>VLOOKUP(B102,辅助信息!E:M,9,FALSE)</f>
        <v>ZTWM-CDGS-XS-2024-0205-五冶钢构-达州市通川区西外复兴镇及临近片区建设项目</v>
      </c>
      <c r="R102" s="26"/>
    </row>
    <row r="103" hidden="1" spans="2:18">
      <c r="B103" s="40" t="s">
        <v>17</v>
      </c>
      <c r="C103" s="70">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8"/>
      <c r="M103" s="77"/>
      <c r="N103" s="77"/>
      <c r="O103" s="77"/>
      <c r="P103" s="77"/>
      <c r="Q103" s="40" t="str">
        <f>VLOOKUP(B103,辅助信息!E:M,9,FALSE)</f>
        <v>ZTWM-CDGS-XS-2024-0205-五冶钢构-达州市通川区西外复兴镇及临近片区建设项目</v>
      </c>
      <c r="R103" s="26"/>
    </row>
    <row r="104" hidden="1" spans="2:18">
      <c r="B104" s="40" t="s">
        <v>17</v>
      </c>
      <c r="C104" s="70">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6"/>
      <c r="M104" s="77"/>
      <c r="N104" s="77"/>
      <c r="O104" s="77"/>
      <c r="P104" s="77"/>
      <c r="Q104" s="40" t="str">
        <f>VLOOKUP(B104,辅助信息!E:M,9,FALSE)</f>
        <v>ZTWM-CDGS-XS-2024-0205-五冶钢构-达州市通川区西外复兴镇及临近片区建设项目</v>
      </c>
      <c r="R104" s="26"/>
    </row>
    <row r="105" hidden="1" spans="2:18">
      <c r="B105" s="40" t="s">
        <v>44</v>
      </c>
      <c r="C105" s="70">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7" t="str">
        <f>VLOOKUP(B105,辅助信息!E:J,6,FALSE)</f>
        <v>对方卸车</v>
      </c>
      <c r="M105" s="77"/>
      <c r="N105" s="77"/>
      <c r="O105" s="77"/>
      <c r="P105" s="77"/>
      <c r="Q105" s="40" t="str">
        <f>VLOOKUP(B105,辅助信息!E:M,9,FALSE)</f>
        <v>ZTWM-CDGS-XS-2024-0189-华西集采-酒城南项目</v>
      </c>
      <c r="R105" s="26"/>
    </row>
    <row r="106" hidden="1" spans="2:18">
      <c r="B106" s="40" t="s">
        <v>44</v>
      </c>
      <c r="C106" s="70">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8"/>
      <c r="M106" s="77"/>
      <c r="N106" s="77"/>
      <c r="O106" s="77"/>
      <c r="P106" s="77"/>
      <c r="Q106" s="40" t="str">
        <f>VLOOKUP(B106,辅助信息!E:M,9,FALSE)</f>
        <v>ZTWM-CDGS-XS-2024-0189-华西集采-酒城南项目</v>
      </c>
      <c r="R106" s="26"/>
    </row>
    <row r="107" hidden="1" spans="2:18">
      <c r="B107" s="40" t="s">
        <v>44</v>
      </c>
      <c r="C107" s="70">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6"/>
      <c r="M107" s="77"/>
      <c r="N107" s="77"/>
      <c r="O107" s="77"/>
      <c r="P107" s="77"/>
      <c r="Q107" s="40" t="str">
        <f>VLOOKUP(B107,辅助信息!E:M,9,FALSE)</f>
        <v>ZTWM-CDGS-XS-2024-0189-华西集采-酒城南项目</v>
      </c>
      <c r="R107" s="26"/>
    </row>
    <row r="108" hidden="1" spans="2:18">
      <c r="B108" s="40" t="s">
        <v>31</v>
      </c>
      <c r="C108" s="70">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7" t="str">
        <f>VLOOKUP(B108,辅助信息!E:J,6,FALSE)</f>
        <v>提前联系到场规格及数量</v>
      </c>
      <c r="M108" s="77"/>
      <c r="N108" s="77"/>
      <c r="O108" s="77"/>
      <c r="P108" s="77"/>
      <c r="Q108" s="40" t="str">
        <f>VLOOKUP(B108,辅助信息!E:M,9,FALSE)</f>
        <v>ZTWM-CDGS-XS-2024-0179-四川商投-射洪城乡一体化建设项目</v>
      </c>
      <c r="R108" s="26"/>
    </row>
    <row r="109" hidden="1" spans="2:18">
      <c r="B109" s="40" t="s">
        <v>31</v>
      </c>
      <c r="C109" s="70">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8"/>
      <c r="M109" s="77"/>
      <c r="N109" s="77"/>
      <c r="O109" s="77"/>
      <c r="P109" s="77"/>
      <c r="Q109" s="40" t="str">
        <f>VLOOKUP(B109,辅助信息!E:M,9,FALSE)</f>
        <v>ZTWM-CDGS-XS-2024-0179-四川商投-射洪城乡一体化建设项目</v>
      </c>
      <c r="R109" s="26"/>
    </row>
    <row r="110" hidden="1" spans="2:18">
      <c r="B110" s="40" t="s">
        <v>31</v>
      </c>
      <c r="C110" s="70">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8"/>
      <c r="M110" s="77"/>
      <c r="N110" s="77"/>
      <c r="O110" s="77"/>
      <c r="P110" s="77"/>
      <c r="Q110" s="40" t="str">
        <f>VLOOKUP(B110,辅助信息!E:M,9,FALSE)</f>
        <v>ZTWM-CDGS-XS-2024-0179-四川商投-射洪城乡一体化建设项目</v>
      </c>
      <c r="R110" s="26"/>
    </row>
    <row r="111" hidden="1" spans="2:18">
      <c r="B111" s="40" t="s">
        <v>31</v>
      </c>
      <c r="C111" s="70">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8"/>
      <c r="M111" s="77"/>
      <c r="N111" s="77"/>
      <c r="O111" s="77"/>
      <c r="P111" s="77"/>
      <c r="Q111" s="40" t="str">
        <f>VLOOKUP(B111,辅助信息!E:M,9,FALSE)</f>
        <v>ZTWM-CDGS-XS-2024-0179-四川商投-射洪城乡一体化建设项目</v>
      </c>
      <c r="R111" s="26"/>
    </row>
    <row r="112" hidden="1" spans="2:18">
      <c r="B112" s="40" t="s">
        <v>31</v>
      </c>
      <c r="C112" s="70">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8"/>
      <c r="M112" s="77"/>
      <c r="N112" s="77"/>
      <c r="O112" s="77"/>
      <c r="P112" s="77"/>
      <c r="Q112" s="40" t="str">
        <f>VLOOKUP(B112,辅助信息!E:M,9,FALSE)</f>
        <v>ZTWM-CDGS-XS-2024-0179-四川商投-射洪城乡一体化建设项目</v>
      </c>
      <c r="R112" s="26"/>
    </row>
    <row r="113" hidden="1" spans="2:18">
      <c r="B113" s="40" t="s">
        <v>31</v>
      </c>
      <c r="C113" s="70">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8"/>
      <c r="M113" s="77"/>
      <c r="N113" s="77"/>
      <c r="O113" s="77"/>
      <c r="P113" s="77"/>
      <c r="Q113" s="40" t="str">
        <f>VLOOKUP(B113,辅助信息!E:M,9,FALSE)</f>
        <v>ZTWM-CDGS-XS-2024-0179-四川商投-射洪城乡一体化建设项目</v>
      </c>
      <c r="R113" s="26"/>
    </row>
    <row r="114" hidden="1" spans="2:18">
      <c r="B114" s="40" t="s">
        <v>31</v>
      </c>
      <c r="C114" s="70">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8"/>
      <c r="M114" s="77"/>
      <c r="N114" s="77"/>
      <c r="O114" s="77"/>
      <c r="P114" s="77"/>
      <c r="Q114" s="40" t="str">
        <f>VLOOKUP(B114,辅助信息!E:M,9,FALSE)</f>
        <v>ZTWM-CDGS-XS-2024-0179-四川商投-射洪城乡一体化建设项目</v>
      </c>
      <c r="R114" s="26"/>
    </row>
    <row r="115" hidden="1" spans="2:18">
      <c r="B115" s="40" t="s">
        <v>31</v>
      </c>
      <c r="C115" s="70">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8"/>
      <c r="M115" s="77"/>
      <c r="N115" s="77"/>
      <c r="O115" s="77"/>
      <c r="P115" s="77"/>
      <c r="Q115" s="40" t="str">
        <f>VLOOKUP(B115,辅助信息!E:M,9,FALSE)</f>
        <v>ZTWM-CDGS-XS-2024-0179-四川商投-射洪城乡一体化建设项目</v>
      </c>
      <c r="R115" s="26"/>
    </row>
    <row r="116" hidden="1" spans="2:18">
      <c r="B116" s="40" t="s">
        <v>31</v>
      </c>
      <c r="C116" s="70">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8"/>
      <c r="M116" s="77"/>
      <c r="N116" s="77"/>
      <c r="O116" s="77"/>
      <c r="P116" s="77"/>
      <c r="Q116" s="40" t="str">
        <f>VLOOKUP(B116,辅助信息!E:M,9,FALSE)</f>
        <v>ZTWM-CDGS-XS-2024-0179-四川商投-射洪城乡一体化建设项目</v>
      </c>
      <c r="R116" s="26"/>
    </row>
    <row r="117" hidden="1" spans="2:18">
      <c r="B117" s="40" t="s">
        <v>31</v>
      </c>
      <c r="C117" s="70">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6"/>
      <c r="M117" s="77"/>
      <c r="N117" s="77"/>
      <c r="O117" s="77"/>
      <c r="P117" s="77"/>
      <c r="Q117" s="40" t="str">
        <f>VLOOKUP(B117,辅助信息!E:M,9,FALSE)</f>
        <v>ZTWM-CDGS-XS-2024-0179-四川商投-射洪城乡一体化建设项目</v>
      </c>
      <c r="R117" s="26"/>
    </row>
    <row r="118" hidden="1" spans="2:18">
      <c r="B118" s="40" t="s">
        <v>50</v>
      </c>
      <c r="C118" s="70">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7" t="e">
        <f>VLOOKUP(B118,辅助信息!E:J,6,FALSE)</f>
        <v>#N/A</v>
      </c>
      <c r="M118" s="77"/>
      <c r="N118" s="77"/>
      <c r="O118" s="77"/>
      <c r="P118" s="77"/>
      <c r="Q118" s="40" t="e">
        <f>VLOOKUP(B118,辅助信息!E:M,9,FALSE)</f>
        <v>#N/A</v>
      </c>
      <c r="R118" s="26"/>
    </row>
    <row r="119" hidden="1" spans="2:18">
      <c r="B119" s="40" t="s">
        <v>50</v>
      </c>
      <c r="C119" s="70">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8"/>
      <c r="M119" s="77"/>
      <c r="N119" s="77"/>
      <c r="O119" s="77"/>
      <c r="P119" s="77"/>
      <c r="Q119" s="40" t="e">
        <f>VLOOKUP(B119,辅助信息!E:M,9,FALSE)</f>
        <v>#N/A</v>
      </c>
      <c r="R119" s="26"/>
    </row>
    <row r="120" hidden="1" spans="2:18">
      <c r="B120" s="40" t="s">
        <v>50</v>
      </c>
      <c r="C120" s="70">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6"/>
      <c r="M120" s="77"/>
      <c r="N120" s="77"/>
      <c r="O120" s="77"/>
      <c r="P120" s="77"/>
      <c r="Q120" s="40" t="e">
        <f>VLOOKUP(B120,辅助信息!E:M,9,FALSE)</f>
        <v>#N/A</v>
      </c>
      <c r="R120" s="26"/>
    </row>
    <row r="121" hidden="1" spans="2:18">
      <c r="B121" s="40" t="s">
        <v>29</v>
      </c>
      <c r="C121" s="70">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7" t="e">
        <f>VLOOKUP(B121,辅助信息!E:J,6,FALSE)</f>
        <v>#N/A</v>
      </c>
      <c r="M121" s="77"/>
      <c r="N121" s="77"/>
      <c r="O121" s="77"/>
      <c r="P121" s="77"/>
      <c r="Q121" s="40" t="e">
        <f>VLOOKUP(B121,辅助信息!E:M,9,FALSE)</f>
        <v>#N/A</v>
      </c>
      <c r="R121" s="26"/>
    </row>
    <row r="122" hidden="1" spans="2:18">
      <c r="B122" s="40" t="s">
        <v>29</v>
      </c>
      <c r="C122" s="70">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6"/>
      <c r="M122" s="77"/>
      <c r="N122" s="77"/>
      <c r="O122" s="77"/>
      <c r="P122" s="77"/>
      <c r="Q122" s="40" t="e">
        <f>VLOOKUP(B122,辅助信息!E:M,9,FALSE)</f>
        <v>#N/A</v>
      </c>
      <c r="R122" s="26"/>
    </row>
    <row r="123" hidden="1" spans="2:18">
      <c r="B123" s="40" t="s">
        <v>54</v>
      </c>
      <c r="C123" s="70">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7" t="e">
        <f>VLOOKUP(B123,辅助信息!E:J,6,FALSE)</f>
        <v>#N/A</v>
      </c>
      <c r="M123" s="77"/>
      <c r="N123" s="77"/>
      <c r="O123" s="77"/>
      <c r="P123" s="77"/>
      <c r="Q123" s="40" t="e">
        <f>VLOOKUP(B123,辅助信息!E:M,9,FALSE)</f>
        <v>#N/A</v>
      </c>
      <c r="R123" s="26"/>
    </row>
    <row r="124" hidden="1" spans="2:18">
      <c r="B124" s="40" t="s">
        <v>54</v>
      </c>
      <c r="C124" s="70">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8"/>
      <c r="M124" s="77"/>
      <c r="N124" s="77"/>
      <c r="O124" s="77"/>
      <c r="P124" s="77"/>
      <c r="Q124" s="40" t="e">
        <f>VLOOKUP(B124,辅助信息!E:M,9,FALSE)</f>
        <v>#N/A</v>
      </c>
      <c r="R124" s="26"/>
    </row>
    <row r="125" hidden="1" spans="2:18">
      <c r="B125" s="40" t="s">
        <v>54</v>
      </c>
      <c r="C125" s="70">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6"/>
      <c r="M125" s="77"/>
      <c r="N125" s="77"/>
      <c r="O125" s="77"/>
      <c r="P125" s="77"/>
      <c r="Q125" s="40" t="e">
        <f>VLOOKUP(B125,辅助信息!E:M,9,FALSE)</f>
        <v>#N/A</v>
      </c>
      <c r="R125" s="26"/>
    </row>
    <row r="126" hidden="1" spans="1:18">
      <c r="A126" s="82" t="s">
        <v>55</v>
      </c>
      <c r="B126" s="40" t="s">
        <v>56</v>
      </c>
      <c r="C126" s="70">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7"/>
      <c r="M126" s="57"/>
      <c r="N126" s="57"/>
      <c r="O126" s="57"/>
      <c r="P126" s="57"/>
      <c r="Q126" s="26"/>
      <c r="R126" s="26"/>
    </row>
    <row r="127" hidden="1" spans="1:18">
      <c r="A127" s="78"/>
      <c r="B127" s="40" t="s">
        <v>56</v>
      </c>
      <c r="C127" s="70">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7"/>
      <c r="M127" s="57"/>
      <c r="N127" s="57"/>
      <c r="O127" s="57"/>
      <c r="P127" s="57"/>
      <c r="Q127" s="26"/>
      <c r="R127" s="26"/>
    </row>
    <row r="128" hidden="1" spans="1:18">
      <c r="A128" s="78"/>
      <c r="B128" s="40" t="s">
        <v>56</v>
      </c>
      <c r="C128" s="70">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7"/>
      <c r="M128" s="57"/>
      <c r="N128" s="57"/>
      <c r="O128" s="57"/>
      <c r="P128" s="57"/>
      <c r="Q128" s="26"/>
      <c r="R128" s="26"/>
    </row>
    <row r="129" hidden="1" spans="1:18">
      <c r="A129" s="78"/>
      <c r="B129" s="40" t="s">
        <v>56</v>
      </c>
      <c r="C129" s="70">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7"/>
      <c r="M129" s="57"/>
      <c r="N129" s="57"/>
      <c r="O129" s="57"/>
      <c r="P129" s="57"/>
      <c r="Q129" s="26"/>
      <c r="R129" s="26"/>
    </row>
    <row r="130" hidden="1" spans="1:18">
      <c r="A130" s="78"/>
      <c r="B130" s="40" t="s">
        <v>56</v>
      </c>
      <c r="C130" s="70">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7"/>
      <c r="M130" s="57"/>
      <c r="N130" s="57"/>
      <c r="O130" s="57"/>
      <c r="P130" s="57"/>
      <c r="Q130" s="26"/>
      <c r="R130" s="26"/>
    </row>
    <row r="131" hidden="1" spans="1:18">
      <c r="A131" s="78"/>
      <c r="B131" s="40" t="s">
        <v>56</v>
      </c>
      <c r="C131" s="70">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7"/>
      <c r="M131" s="57"/>
      <c r="N131" s="57"/>
      <c r="O131" s="57"/>
      <c r="P131" s="57"/>
      <c r="Q131" s="26"/>
      <c r="R131" s="26"/>
    </row>
    <row r="132" hidden="1" spans="1:18">
      <c r="A132" s="78"/>
      <c r="B132" s="40" t="s">
        <v>56</v>
      </c>
      <c r="C132" s="70">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7"/>
      <c r="M132" s="57"/>
      <c r="N132" s="57"/>
      <c r="O132" s="57"/>
      <c r="P132" s="57"/>
      <c r="Q132" s="26"/>
      <c r="R132" s="26"/>
    </row>
    <row r="133" hidden="1" spans="1:18">
      <c r="A133" s="76"/>
      <c r="B133" s="83" t="s">
        <v>56</v>
      </c>
      <c r="C133" s="84">
        <v>45661</v>
      </c>
      <c r="D133" s="83" t="str">
        <f>VLOOKUP(B133,辅助信息!E:K,7,FALSE)</f>
        <v>JWDDCD2025052800131</v>
      </c>
      <c r="E133" s="83" t="str">
        <f>VLOOKUP(F133,辅助信息!A:B,2,FALSE)</f>
        <v>螺纹钢</v>
      </c>
      <c r="F133" s="83" t="s">
        <v>22</v>
      </c>
      <c r="G133" s="85">
        <v>12</v>
      </c>
      <c r="H133" s="85" t="e">
        <f>_xlfn._xlws.FILTER(#REF!,#REF!&amp;#REF!&amp;#REF!&amp;#REF!=C133&amp;F133&amp;I133&amp;J133,"未发货")</f>
        <v>#REF!</v>
      </c>
      <c r="I133" s="83" t="str">
        <f>VLOOKUP(B133,辅助信息!E:I,3,FALSE)</f>
        <v>（商投建工达州中医药科技园-4工区-7号楼）达州市通川区达州中医药职业学院犀牛大道北段</v>
      </c>
      <c r="J133" s="83" t="str">
        <f>VLOOKUP(B133,辅助信息!E:I,4,FALSE)</f>
        <v>张扬</v>
      </c>
      <c r="K133" s="83">
        <f>VLOOKUP(J133,辅助信息!H:I,2,FALSE)</f>
        <v>18381904567</v>
      </c>
      <c r="L133" s="57"/>
      <c r="M133" s="57"/>
      <c r="N133" s="57"/>
      <c r="O133" s="57"/>
      <c r="P133" s="57"/>
      <c r="Q133" s="26"/>
      <c r="R133" s="26"/>
    </row>
    <row r="134" ht="78.75" hidden="1" customHeight="1" spans="1:18">
      <c r="A134" s="71"/>
      <c r="B134" s="40" t="s">
        <v>59</v>
      </c>
      <c r="C134" s="70">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6" t="str">
        <f>VLOOKUP(B134,辅助信息!E:J,6,FALSE)</f>
        <v>送货单：送货单位：南充思临新材料科技有限公司,收货单位：五冶集团川北(南充)建设有限公司,项目名称：南充医学科学产业园,送货车型13米,装货前联系收货人核实到场规格</v>
      </c>
      <c r="M134" s="86"/>
      <c r="N134" s="86"/>
      <c r="O134" s="86"/>
      <c r="P134" s="86"/>
      <c r="Q134" s="40" t="str">
        <f>VLOOKUP(B134,辅助信息!E:M,9,FALSE)</f>
        <v>ZTWM-CDGS-XS-2024-0248-五冶钢构-南充市医学院项目</v>
      </c>
      <c r="R134" s="26"/>
    </row>
    <row r="135" hidden="1" spans="2:18">
      <c r="B135" s="40" t="s">
        <v>24</v>
      </c>
      <c r="C135" s="70">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7" t="str">
        <f>VLOOKUP(B135,辅助信息!E:J,6,FALSE)</f>
        <v>送货单：送货单位：南充思临新材料科技有限公司,收货单位：五冶集团川北(南充)建设有限公司,项目名称：南充医学科学产业园,送货车型13米,装货前联系收货人核实到场规格</v>
      </c>
      <c r="M135" s="77"/>
      <c r="N135" s="77"/>
      <c r="O135" s="77"/>
      <c r="P135" s="77"/>
      <c r="Q135" s="40" t="str">
        <f>VLOOKUP(B135,辅助信息!E:M,9,FALSE)</f>
        <v>ZTWM-CDGS-XS-2024-0248-五冶钢构-南充市医学院项目</v>
      </c>
      <c r="R135" s="26"/>
    </row>
    <row r="136" hidden="1" spans="2:18">
      <c r="B136" s="40" t="s">
        <v>24</v>
      </c>
      <c r="C136" s="70">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6"/>
      <c r="M136" s="77"/>
      <c r="N136" s="77"/>
      <c r="O136" s="77"/>
      <c r="P136" s="77"/>
      <c r="Q136" s="40" t="str">
        <f>VLOOKUP(B136,辅助信息!E:M,9,FALSE)</f>
        <v>ZTWM-CDGS-XS-2024-0248-五冶钢构-南充市医学院项目</v>
      </c>
      <c r="R136" s="26"/>
    </row>
    <row r="137" hidden="1" spans="2:18">
      <c r="B137" s="40" t="s">
        <v>25</v>
      </c>
      <c r="C137" s="70">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7" t="e">
        <f>VLOOKUP(B137,辅助信息!E:J,6,FALSE)</f>
        <v>#N/A</v>
      </c>
      <c r="M137" s="77"/>
      <c r="N137" s="77"/>
      <c r="O137" s="77"/>
      <c r="P137" s="77"/>
      <c r="Q137" s="40" t="e">
        <f>VLOOKUP(B137,辅助信息!E:M,9,FALSE)</f>
        <v>#N/A</v>
      </c>
      <c r="R137" s="26"/>
    </row>
    <row r="138" hidden="1" spans="2:18">
      <c r="B138" s="40" t="s">
        <v>25</v>
      </c>
      <c r="C138" s="70">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8"/>
      <c r="M138" s="77"/>
      <c r="N138" s="77"/>
      <c r="O138" s="77"/>
      <c r="P138" s="77"/>
      <c r="Q138" s="40" t="e">
        <f>VLOOKUP(B138,辅助信息!E:M,9,FALSE)</f>
        <v>#N/A</v>
      </c>
      <c r="R138" s="26"/>
    </row>
    <row r="139" hidden="1" spans="2:18">
      <c r="B139" s="40" t="s">
        <v>25</v>
      </c>
      <c r="C139" s="70">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8"/>
      <c r="M139" s="77"/>
      <c r="N139" s="77"/>
      <c r="O139" s="77"/>
      <c r="P139" s="77"/>
      <c r="Q139" s="40" t="e">
        <f>VLOOKUP(B139,辅助信息!E:M,9,FALSE)</f>
        <v>#N/A</v>
      </c>
      <c r="R139" s="26"/>
    </row>
    <row r="140" hidden="1" spans="2:18">
      <c r="B140" s="40" t="s">
        <v>25</v>
      </c>
      <c r="C140" s="70">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6"/>
      <c r="M140" s="77"/>
      <c r="N140" s="77"/>
      <c r="O140" s="77"/>
      <c r="P140" s="77"/>
      <c r="Q140" s="40" t="e">
        <f>VLOOKUP(B140,辅助信息!E:M,9,FALSE)</f>
        <v>#N/A</v>
      </c>
      <c r="R140" s="26"/>
    </row>
    <row r="141" hidden="1" spans="2:18">
      <c r="B141" s="40" t="s">
        <v>17</v>
      </c>
      <c r="C141" s="70">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7" t="str">
        <f>VLOOKUP(B141,辅助信息!E:J,6,FALSE)</f>
        <v>提前联系到场规格,一天到场车辆不低于2车</v>
      </c>
      <c r="M141" s="77"/>
      <c r="N141" s="77"/>
      <c r="O141" s="77"/>
      <c r="P141" s="77"/>
      <c r="Q141" s="40" t="str">
        <f>VLOOKUP(B141,辅助信息!E:M,9,FALSE)</f>
        <v>ZTWM-CDGS-XS-2024-0205-五冶钢构-达州市通川区西外复兴镇及临近片区建设项目</v>
      </c>
      <c r="R141" s="26"/>
    </row>
    <row r="142" hidden="1" spans="2:18">
      <c r="B142" s="40" t="s">
        <v>17</v>
      </c>
      <c r="C142" s="70">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8"/>
      <c r="M142" s="77"/>
      <c r="N142" s="77"/>
      <c r="O142" s="77"/>
      <c r="P142" s="77"/>
      <c r="Q142" s="40" t="str">
        <f>VLOOKUP(B142,辅助信息!E:M,9,FALSE)</f>
        <v>ZTWM-CDGS-XS-2024-0205-五冶钢构-达州市通川区西外复兴镇及临近片区建设项目</v>
      </c>
      <c r="R142" s="26"/>
    </row>
    <row r="143" hidden="1" spans="2:18">
      <c r="B143" s="40" t="s">
        <v>17</v>
      </c>
      <c r="C143" s="70">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6"/>
      <c r="M143" s="77"/>
      <c r="N143" s="77"/>
      <c r="O143" s="77"/>
      <c r="P143" s="77"/>
      <c r="Q143" s="40" t="str">
        <f>VLOOKUP(B143,辅助信息!E:M,9,FALSE)</f>
        <v>ZTWM-CDGS-XS-2024-0205-五冶钢构-达州市通川区西外复兴镇及临近片区建设项目</v>
      </c>
      <c r="R143" s="26"/>
    </row>
    <row r="144" hidden="1" spans="2:18">
      <c r="B144" s="40" t="s">
        <v>44</v>
      </c>
      <c r="C144" s="70">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7" t="str">
        <f>VLOOKUP(B144,辅助信息!E:J,6,FALSE)</f>
        <v>对方卸车</v>
      </c>
      <c r="M144" s="77"/>
      <c r="N144" s="77"/>
      <c r="O144" s="77"/>
      <c r="P144" s="77"/>
      <c r="Q144" s="40" t="str">
        <f>VLOOKUP(B144,辅助信息!E:M,9,FALSE)</f>
        <v>ZTWM-CDGS-XS-2024-0189-华西集采-酒城南项目</v>
      </c>
      <c r="R144" s="26"/>
    </row>
    <row r="145" hidden="1" spans="2:18">
      <c r="B145" s="40" t="s">
        <v>44</v>
      </c>
      <c r="C145" s="70">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8"/>
      <c r="M145" s="77"/>
      <c r="N145" s="77"/>
      <c r="O145" s="77"/>
      <c r="P145" s="77"/>
      <c r="Q145" s="40" t="str">
        <f>VLOOKUP(B145,辅助信息!E:M,9,FALSE)</f>
        <v>ZTWM-CDGS-XS-2024-0189-华西集采-酒城南项目</v>
      </c>
      <c r="R145" s="26"/>
    </row>
    <row r="146" hidden="1" spans="2:18">
      <c r="B146" s="40" t="s">
        <v>44</v>
      </c>
      <c r="C146" s="70">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6"/>
      <c r="M146" s="77"/>
      <c r="N146" s="77"/>
      <c r="O146" s="77"/>
      <c r="P146" s="77"/>
      <c r="Q146" s="40" t="str">
        <f>VLOOKUP(B146,辅助信息!E:M,9,FALSE)</f>
        <v>ZTWM-CDGS-XS-2024-0189-华西集采-酒城南项目</v>
      </c>
      <c r="R146" s="26"/>
    </row>
    <row r="147" hidden="1" spans="2:18">
      <c r="B147" s="40" t="s">
        <v>31</v>
      </c>
      <c r="C147" s="70">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7" t="str">
        <f>VLOOKUP(B147,辅助信息!E:J,6,FALSE)</f>
        <v>提前联系到场规格及数量</v>
      </c>
      <c r="M147" s="77"/>
      <c r="N147" s="77"/>
      <c r="O147" s="77"/>
      <c r="P147" s="77"/>
      <c r="Q147" s="40" t="str">
        <f>VLOOKUP(B147,辅助信息!E:M,9,FALSE)</f>
        <v>ZTWM-CDGS-XS-2024-0179-四川商投-射洪城乡一体化建设项目</v>
      </c>
      <c r="R147" s="26"/>
    </row>
    <row r="148" hidden="1" spans="2:18">
      <c r="B148" s="40" t="s">
        <v>31</v>
      </c>
      <c r="C148" s="70">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8"/>
      <c r="M148" s="77"/>
      <c r="N148" s="77"/>
      <c r="O148" s="77"/>
      <c r="P148" s="77"/>
      <c r="Q148" s="40" t="str">
        <f>VLOOKUP(B148,辅助信息!E:M,9,FALSE)</f>
        <v>ZTWM-CDGS-XS-2024-0179-四川商投-射洪城乡一体化建设项目</v>
      </c>
      <c r="R148" s="26"/>
    </row>
    <row r="149" hidden="1" spans="2:18">
      <c r="B149" s="40" t="s">
        <v>31</v>
      </c>
      <c r="C149" s="70">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6"/>
      <c r="M149" s="77"/>
      <c r="N149" s="77"/>
      <c r="O149" s="77"/>
      <c r="P149" s="77"/>
      <c r="Q149" s="40" t="str">
        <f>VLOOKUP(B149,辅助信息!E:M,9,FALSE)</f>
        <v>ZTWM-CDGS-XS-2024-0179-四川商投-射洪城乡一体化建设项目</v>
      </c>
      <c r="R149" s="26"/>
    </row>
    <row r="150" hidden="1" spans="2:18">
      <c r="B150" s="40" t="s">
        <v>50</v>
      </c>
      <c r="C150" s="70">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7" t="e">
        <f>VLOOKUP(B150,辅助信息!E:J,6,FALSE)</f>
        <v>#N/A</v>
      </c>
      <c r="M150" s="77"/>
      <c r="N150" s="77"/>
      <c r="O150" s="77"/>
      <c r="P150" s="77"/>
      <c r="Q150" s="40" t="e">
        <f>VLOOKUP(B150,辅助信息!E:M,9,FALSE)</f>
        <v>#N/A</v>
      </c>
      <c r="R150" s="26"/>
    </row>
    <row r="151" hidden="1" spans="2:18">
      <c r="B151" s="40" t="s">
        <v>50</v>
      </c>
      <c r="C151" s="70">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8"/>
      <c r="M151" s="77"/>
      <c r="N151" s="77"/>
      <c r="O151" s="77"/>
      <c r="P151" s="77"/>
      <c r="Q151" s="40" t="e">
        <f>VLOOKUP(B151,辅助信息!E:M,9,FALSE)</f>
        <v>#N/A</v>
      </c>
      <c r="R151" s="26"/>
    </row>
    <row r="152" hidden="1" spans="2:18">
      <c r="B152" s="40" t="s">
        <v>50</v>
      </c>
      <c r="C152" s="70">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6"/>
      <c r="M152" s="77"/>
      <c r="N152" s="77"/>
      <c r="O152" s="77"/>
      <c r="P152" s="77"/>
      <c r="Q152" s="40" t="e">
        <f>VLOOKUP(B152,辅助信息!E:M,9,FALSE)</f>
        <v>#N/A</v>
      </c>
      <c r="R152" s="26"/>
    </row>
    <row r="153" hidden="1" spans="2:18">
      <c r="B153" s="40" t="s">
        <v>29</v>
      </c>
      <c r="C153" s="70">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7" t="e">
        <f>VLOOKUP(B153,辅助信息!E:J,6,FALSE)</f>
        <v>#N/A</v>
      </c>
      <c r="M153" s="77"/>
      <c r="N153" s="77"/>
      <c r="O153" s="77"/>
      <c r="P153" s="77"/>
      <c r="Q153" s="40" t="e">
        <f>VLOOKUP(B153,辅助信息!E:M,9,FALSE)</f>
        <v>#N/A</v>
      </c>
      <c r="R153" s="26"/>
    </row>
    <row r="154" hidden="1" spans="2:18">
      <c r="B154" s="40" t="s">
        <v>29</v>
      </c>
      <c r="C154" s="70">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6"/>
      <c r="M154" s="77"/>
      <c r="N154" s="77"/>
      <c r="O154" s="77"/>
      <c r="P154" s="77"/>
      <c r="Q154" s="40" t="e">
        <f>VLOOKUP(B154,辅助信息!E:M,9,FALSE)</f>
        <v>#N/A</v>
      </c>
      <c r="R154" s="26"/>
    </row>
    <row r="155" hidden="1" spans="2:18">
      <c r="B155" s="40" t="s">
        <v>54</v>
      </c>
      <c r="C155" s="70">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7" t="e">
        <f>VLOOKUP(B155,辅助信息!E:J,6,FALSE)</f>
        <v>#N/A</v>
      </c>
      <c r="M155" s="77"/>
      <c r="N155" s="77"/>
      <c r="O155" s="77"/>
      <c r="P155" s="77"/>
      <c r="Q155" s="40" t="e">
        <f>VLOOKUP(B155,辅助信息!E:M,9,FALSE)</f>
        <v>#N/A</v>
      </c>
      <c r="R155" s="26"/>
    </row>
    <row r="156" hidden="1" spans="2:18">
      <c r="B156" s="40" t="s">
        <v>54</v>
      </c>
      <c r="C156" s="70">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8"/>
      <c r="M156" s="77"/>
      <c r="N156" s="77"/>
      <c r="O156" s="77"/>
      <c r="P156" s="77"/>
      <c r="Q156" s="40" t="e">
        <f>VLOOKUP(B156,辅助信息!E:M,9,FALSE)</f>
        <v>#N/A</v>
      </c>
      <c r="R156" s="26"/>
    </row>
    <row r="157" hidden="1" spans="2:18">
      <c r="B157" s="40" t="s">
        <v>54</v>
      </c>
      <c r="C157" s="70">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6"/>
      <c r="M157" s="77"/>
      <c r="N157" s="77"/>
      <c r="O157" s="77"/>
      <c r="P157" s="77"/>
      <c r="Q157" s="40" t="e">
        <f>VLOOKUP(B157,辅助信息!E:M,9,FALSE)</f>
        <v>#N/A</v>
      </c>
      <c r="R157" s="26"/>
    </row>
    <row r="158" hidden="1" spans="1:18">
      <c r="A158" s="57" t="s">
        <v>55</v>
      </c>
      <c r="B158" s="40" t="s">
        <v>56</v>
      </c>
      <c r="C158" s="70">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7" t="str">
        <f>VLOOKUP(B158,辅助信息!E:J,6,FALSE)</f>
        <v>控制炉批号！多了现场不收！,优先安排达钢,提前联系到场规格及数量</v>
      </c>
      <c r="M158" s="77"/>
      <c r="N158" s="77"/>
      <c r="O158" s="77"/>
      <c r="P158" s="77"/>
      <c r="Q158" s="40" t="str">
        <f>VLOOKUP(B158,辅助信息!E:M,9,FALSE)</f>
        <v>ZTWM-CDGS-XS-2024-0134-商投建工达州中医药科技成果示范园项目</v>
      </c>
      <c r="R158" s="26"/>
    </row>
    <row r="159" hidden="1" spans="2:18">
      <c r="B159" s="40" t="s">
        <v>56</v>
      </c>
      <c r="C159" s="70">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8"/>
      <c r="M159" s="77"/>
      <c r="N159" s="77"/>
      <c r="O159" s="77"/>
      <c r="P159" s="77"/>
      <c r="Q159" s="40" t="str">
        <f>VLOOKUP(B159,辅助信息!E:M,9,FALSE)</f>
        <v>ZTWM-CDGS-XS-2024-0134-商投建工达州中医药科技成果示范园项目</v>
      </c>
      <c r="R159" s="26"/>
    </row>
    <row r="160" hidden="1" spans="2:18">
      <c r="B160" s="40" t="s">
        <v>56</v>
      </c>
      <c r="C160" s="70">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8"/>
      <c r="M160" s="77"/>
      <c r="N160" s="77"/>
      <c r="O160" s="77"/>
      <c r="P160" s="77"/>
      <c r="Q160" s="40" t="str">
        <f>VLOOKUP(B160,辅助信息!E:M,9,FALSE)</f>
        <v>ZTWM-CDGS-XS-2024-0134-商投建工达州中医药科技成果示范园项目</v>
      </c>
      <c r="R160" s="26"/>
    </row>
    <row r="161" hidden="1" spans="2:18">
      <c r="B161" s="40" t="s">
        <v>56</v>
      </c>
      <c r="C161" s="70">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8"/>
      <c r="M161" s="77"/>
      <c r="N161" s="77"/>
      <c r="O161" s="77"/>
      <c r="P161" s="77"/>
      <c r="Q161" s="40" t="str">
        <f>VLOOKUP(B161,辅助信息!E:M,9,FALSE)</f>
        <v>ZTWM-CDGS-XS-2024-0134-商投建工达州中医药科技成果示范园项目</v>
      </c>
      <c r="R161" s="26"/>
    </row>
    <row r="162" hidden="1" spans="2:18">
      <c r="B162" s="40" t="s">
        <v>56</v>
      </c>
      <c r="C162" s="70">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8"/>
      <c r="M162" s="77"/>
      <c r="N162" s="77"/>
      <c r="O162" s="77"/>
      <c r="P162" s="77"/>
      <c r="Q162" s="40" t="str">
        <f>VLOOKUP(B162,辅助信息!E:M,9,FALSE)</f>
        <v>ZTWM-CDGS-XS-2024-0134-商投建工达州中医药科技成果示范园项目</v>
      </c>
      <c r="R162" s="26"/>
    </row>
    <row r="163" hidden="1" spans="2:18">
      <c r="B163" s="40" t="s">
        <v>56</v>
      </c>
      <c r="C163" s="70">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8"/>
      <c r="M163" s="77"/>
      <c r="N163" s="77"/>
      <c r="O163" s="77"/>
      <c r="P163" s="77"/>
      <c r="Q163" s="40" t="str">
        <f>VLOOKUP(B163,辅助信息!E:M,9,FALSE)</f>
        <v>ZTWM-CDGS-XS-2024-0134-商投建工达州中医药科技成果示范园项目</v>
      </c>
      <c r="R163" s="26"/>
    </row>
    <row r="164" hidden="1" spans="2:18">
      <c r="B164" s="40" t="s">
        <v>56</v>
      </c>
      <c r="C164" s="70">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8"/>
      <c r="M164" s="77"/>
      <c r="N164" s="77"/>
      <c r="O164" s="77"/>
      <c r="P164" s="77"/>
      <c r="Q164" s="40" t="str">
        <f>VLOOKUP(B164,辅助信息!E:M,9,FALSE)</f>
        <v>ZTWM-CDGS-XS-2024-0134-商投建工达州中医药科技成果示范园项目</v>
      </c>
      <c r="R164" s="26"/>
    </row>
    <row r="165" hidden="1" spans="2:18">
      <c r="B165" s="40" t="s">
        <v>56</v>
      </c>
      <c r="C165" s="70">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6"/>
      <c r="M165" s="77"/>
      <c r="N165" s="77"/>
      <c r="O165" s="77"/>
      <c r="P165" s="77"/>
      <c r="Q165" s="40" t="str">
        <f>VLOOKUP(B165,辅助信息!E:M,9,FALSE)</f>
        <v>ZTWM-CDGS-XS-2024-0134-商投建工达州中医药科技成果示范园项目</v>
      </c>
      <c r="R165" s="26"/>
    </row>
    <row r="166" hidden="1" spans="2:18">
      <c r="B166" s="40" t="s">
        <v>59</v>
      </c>
      <c r="C166" s="70">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7" t="str">
        <f>VLOOKUP(B166,辅助信息!E:J,6,FALSE)</f>
        <v>送货单：送货单位：南充思临新材料科技有限公司,收货单位：五冶集团川北(南充)建设有限公司,项目名称：南充医学科学产业园,送货车型13米,装货前联系收货人核实到场规格</v>
      </c>
      <c r="M166" s="77"/>
      <c r="N166" s="77"/>
      <c r="O166" s="77"/>
      <c r="P166" s="77"/>
      <c r="Q166" s="40" t="str">
        <f>VLOOKUP(B166,辅助信息!E:M,9,FALSE)</f>
        <v>ZTWM-CDGS-XS-2024-0248-五冶钢构-南充市医学院项目</v>
      </c>
      <c r="R166" s="26"/>
    </row>
    <row r="167" hidden="1" spans="2:18">
      <c r="B167" s="40" t="s">
        <v>59</v>
      </c>
      <c r="C167" s="70">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8"/>
      <c r="M167" s="77"/>
      <c r="N167" s="77"/>
      <c r="O167" s="77"/>
      <c r="P167" s="77"/>
      <c r="Q167" s="40" t="str">
        <f>VLOOKUP(B167,辅助信息!E:M,9,FALSE)</f>
        <v>ZTWM-CDGS-XS-2024-0248-五冶钢构-南充市医学院项目</v>
      </c>
      <c r="R167" s="26"/>
    </row>
    <row r="168" hidden="1" spans="2:18">
      <c r="B168" s="40" t="s">
        <v>59</v>
      </c>
      <c r="C168" s="70">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8"/>
      <c r="M168" s="77"/>
      <c r="N168" s="77"/>
      <c r="O168" s="77"/>
      <c r="P168" s="77"/>
      <c r="Q168" s="40" t="str">
        <f>VLOOKUP(B168,辅助信息!E:M,9,FALSE)</f>
        <v>ZTWM-CDGS-XS-2024-0248-五冶钢构-南充市医学院项目</v>
      </c>
      <c r="R168" s="26"/>
    </row>
    <row r="169" hidden="1" spans="2:18">
      <c r="B169" s="40" t="s">
        <v>60</v>
      </c>
      <c r="C169" s="70">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8"/>
      <c r="M169" s="77"/>
      <c r="N169" s="77"/>
      <c r="O169" s="77"/>
      <c r="P169" s="77"/>
      <c r="Q169" s="40" t="str">
        <f>VLOOKUP(B169,辅助信息!E:M,9,FALSE)</f>
        <v>ZTWM-CDGS-XS-2024-0248-五冶钢构-南充市医学院项目</v>
      </c>
      <c r="R169" s="26"/>
    </row>
    <row r="170" hidden="1" spans="2:18">
      <c r="B170" s="40" t="s">
        <v>60</v>
      </c>
      <c r="C170" s="70">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8"/>
      <c r="M170" s="77"/>
      <c r="N170" s="77"/>
      <c r="O170" s="77"/>
      <c r="P170" s="77"/>
      <c r="Q170" s="40" t="str">
        <f>VLOOKUP(B170,辅助信息!E:M,9,FALSE)</f>
        <v>ZTWM-CDGS-XS-2024-0248-五冶钢构-南充市医学院项目</v>
      </c>
      <c r="R170" s="26"/>
    </row>
    <row r="171" hidden="1" spans="2:18">
      <c r="B171" s="40" t="s">
        <v>60</v>
      </c>
      <c r="C171" s="70">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8"/>
      <c r="M171" s="77"/>
      <c r="N171" s="77"/>
      <c r="O171" s="77"/>
      <c r="P171" s="77"/>
      <c r="Q171" s="40" t="str">
        <f>VLOOKUP(B171,辅助信息!E:M,9,FALSE)</f>
        <v>ZTWM-CDGS-XS-2024-0248-五冶钢构-南充市医学院项目</v>
      </c>
      <c r="R171" s="26"/>
    </row>
    <row r="172" hidden="1" spans="2:18">
      <c r="B172" s="40" t="s">
        <v>60</v>
      </c>
      <c r="C172" s="70">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8"/>
      <c r="M172" s="77"/>
      <c r="N172" s="77"/>
      <c r="O172" s="77"/>
      <c r="P172" s="77"/>
      <c r="Q172" s="40" t="str">
        <f>VLOOKUP(B172,辅助信息!E:M,9,FALSE)</f>
        <v>ZTWM-CDGS-XS-2024-0248-五冶钢构-南充市医学院项目</v>
      </c>
      <c r="R172" s="26"/>
    </row>
    <row r="173" hidden="1" spans="2:18">
      <c r="B173" s="40" t="s">
        <v>60</v>
      </c>
      <c r="C173" s="70">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6"/>
      <c r="M173" s="77"/>
      <c r="N173" s="77"/>
      <c r="O173" s="77"/>
      <c r="P173" s="77"/>
      <c r="Q173" s="40" t="str">
        <f>VLOOKUP(B173,辅助信息!E:M,9,FALSE)</f>
        <v>ZTWM-CDGS-XS-2024-0248-五冶钢构-南充市医学院项目</v>
      </c>
      <c r="R173" s="26"/>
    </row>
    <row r="174" ht="78.75" hidden="1" customHeight="1" spans="2:18">
      <c r="B174" s="40" t="s">
        <v>20</v>
      </c>
      <c r="C174" s="70">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6" t="str">
        <f>VLOOKUP(B174,辅助信息!E:J,6,FALSE)</f>
        <v>送货单：送货单位：南充思临新材料科技有限公司,收货单位：五冶集团川北(南充)建设有限公司,项目名称：南充医学科学产业园,送货车型13米,装货前联系收货人核实到场规格</v>
      </c>
      <c r="M174" s="86"/>
      <c r="N174" s="86"/>
      <c r="O174" s="86"/>
      <c r="P174" s="86"/>
      <c r="Q174" s="40" t="str">
        <f>VLOOKUP(B174,辅助信息!E:M,9,FALSE)</f>
        <v>ZTWM-CDGS-XS-2024-0248-五冶钢构-南充市医学院项目</v>
      </c>
      <c r="R174" s="26"/>
    </row>
    <row r="175" hidden="1" spans="2:18">
      <c r="B175" s="40" t="s">
        <v>17</v>
      </c>
      <c r="C175" s="70">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7" t="str">
        <f>VLOOKUP(B175,辅助信息!E:J,6,FALSE)</f>
        <v>提前联系到场规格,一天到场车辆不低于2车</v>
      </c>
      <c r="M175" s="77"/>
      <c r="N175" s="77"/>
      <c r="O175" s="77"/>
      <c r="P175" s="77"/>
      <c r="Q175" s="40" t="str">
        <f>VLOOKUP(B175,辅助信息!E:M,9,FALSE)</f>
        <v>ZTWM-CDGS-XS-2024-0205-五冶钢构-达州市通川区西外复兴镇及临近片区建设项目</v>
      </c>
      <c r="R175" s="26"/>
    </row>
    <row r="176" hidden="1" spans="2:18">
      <c r="B176" s="40" t="s">
        <v>17</v>
      </c>
      <c r="C176" s="70">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8"/>
      <c r="M176" s="77"/>
      <c r="N176" s="77"/>
      <c r="O176" s="77"/>
      <c r="P176" s="77"/>
      <c r="Q176" s="40"/>
      <c r="R176" s="26"/>
    </row>
    <row r="177" hidden="1" spans="2:18">
      <c r="B177" s="40" t="s">
        <v>17</v>
      </c>
      <c r="C177" s="70">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6"/>
      <c r="M177" s="77"/>
      <c r="N177" s="77"/>
      <c r="O177" s="77"/>
      <c r="P177" s="77"/>
      <c r="Q177" s="40" t="str">
        <f>VLOOKUP(B177,辅助信息!E:M,9,FALSE)</f>
        <v>ZTWM-CDGS-XS-2024-0205-五冶钢构-达州市通川区西外复兴镇及临近片区建设项目</v>
      </c>
      <c r="R177" s="26"/>
    </row>
    <row r="178" hidden="1" spans="2:18">
      <c r="B178" s="40" t="s">
        <v>31</v>
      </c>
      <c r="C178" s="70">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7" t="str">
        <f>VLOOKUP(B178,辅助信息!E:J,6,FALSE)</f>
        <v>提前联系到场规格及数量</v>
      </c>
      <c r="M178" s="77"/>
      <c r="N178" s="77"/>
      <c r="O178" s="77"/>
      <c r="P178" s="77"/>
      <c r="Q178" s="40" t="str">
        <f>VLOOKUP(B178,辅助信息!E:M,9,FALSE)</f>
        <v>ZTWM-CDGS-XS-2024-0179-四川商投-射洪城乡一体化建设项目</v>
      </c>
      <c r="R178" s="26"/>
    </row>
    <row r="179" hidden="1" spans="2:18">
      <c r="B179" s="40" t="s">
        <v>31</v>
      </c>
      <c r="C179" s="70">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8"/>
      <c r="M179" s="77"/>
      <c r="N179" s="77"/>
      <c r="O179" s="77"/>
      <c r="P179" s="77"/>
      <c r="Q179" s="40" t="str">
        <f>VLOOKUP(B179,辅助信息!E:M,9,FALSE)</f>
        <v>ZTWM-CDGS-XS-2024-0179-四川商投-射洪城乡一体化建设项目</v>
      </c>
      <c r="R179" s="26"/>
    </row>
    <row r="180" hidden="1" spans="2:18">
      <c r="B180" s="40" t="s">
        <v>31</v>
      </c>
      <c r="C180" s="70">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8"/>
      <c r="M180" s="77"/>
      <c r="N180" s="77"/>
      <c r="O180" s="77"/>
      <c r="P180" s="77"/>
      <c r="Q180" s="40" t="str">
        <f>VLOOKUP(B180,辅助信息!E:M,9,FALSE)</f>
        <v>ZTWM-CDGS-XS-2024-0179-四川商投-射洪城乡一体化建设项目</v>
      </c>
      <c r="R180" s="26"/>
    </row>
    <row r="181" hidden="1" spans="1:18">
      <c r="A181" s="71" t="s">
        <v>62</v>
      </c>
      <c r="B181" s="40" t="s">
        <v>31</v>
      </c>
      <c r="C181" s="70">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8"/>
      <c r="M181" s="77"/>
      <c r="N181" s="77"/>
      <c r="O181" s="77"/>
      <c r="P181" s="77"/>
      <c r="Q181" s="40" t="str">
        <f>VLOOKUP(B181,辅助信息!E:M,9,FALSE)</f>
        <v>ZTWM-CDGS-XS-2024-0179-四川商投-射洪城乡一体化建设项目</v>
      </c>
      <c r="R181" s="26"/>
    </row>
    <row r="182" hidden="1" spans="2:18">
      <c r="B182" s="40" t="s">
        <v>31</v>
      </c>
      <c r="C182" s="70">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8"/>
      <c r="M182" s="77"/>
      <c r="N182" s="77"/>
      <c r="O182" s="77"/>
      <c r="P182" s="77"/>
      <c r="Q182" s="40" t="str">
        <f>VLOOKUP(B182,辅助信息!E:M,9,FALSE)</f>
        <v>ZTWM-CDGS-XS-2024-0179-四川商投-射洪城乡一体化建设项目</v>
      </c>
      <c r="R182" s="26"/>
    </row>
    <row r="183" hidden="1" spans="2:18">
      <c r="B183" s="40" t="s">
        <v>31</v>
      </c>
      <c r="C183" s="70">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8"/>
      <c r="M183" s="77"/>
      <c r="N183" s="77"/>
      <c r="O183" s="77"/>
      <c r="P183" s="77"/>
      <c r="Q183" s="40" t="str">
        <f>VLOOKUP(B183,辅助信息!E:M,9,FALSE)</f>
        <v>ZTWM-CDGS-XS-2024-0179-四川商投-射洪城乡一体化建设项目</v>
      </c>
      <c r="R183" s="26"/>
    </row>
    <row r="184" hidden="1" spans="2:18">
      <c r="B184" s="40" t="s">
        <v>31</v>
      </c>
      <c r="C184" s="70">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6"/>
      <c r="M184" s="77"/>
      <c r="N184" s="77"/>
      <c r="O184" s="77"/>
      <c r="P184" s="77"/>
      <c r="Q184" s="40" t="str">
        <f>VLOOKUP(B184,辅助信息!E:M,9,FALSE)</f>
        <v>ZTWM-CDGS-XS-2024-0179-四川商投-射洪城乡一体化建设项目</v>
      </c>
      <c r="R184" s="26"/>
    </row>
    <row r="185" ht="56.25" hidden="1" customHeight="1" spans="2:18">
      <c r="B185" s="40" t="s">
        <v>29</v>
      </c>
      <c r="C185" s="70">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6" t="e">
        <f>VLOOKUP(B185,辅助信息!E:J,6,FALSE)</f>
        <v>#N/A</v>
      </c>
      <c r="M185" s="86"/>
      <c r="N185" s="86"/>
      <c r="O185" s="86"/>
      <c r="P185" s="86"/>
      <c r="Q185" s="40" t="e">
        <f>VLOOKUP(B185,辅助信息!E:M,9,FALSE)</f>
        <v>#N/A</v>
      </c>
      <c r="R185" s="26"/>
    </row>
    <row r="186" ht="56.25" hidden="1" customHeight="1" spans="2:18">
      <c r="B186" s="40" t="s">
        <v>54</v>
      </c>
      <c r="C186" s="70">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6" t="e">
        <f>VLOOKUP(B186,辅助信息!E:J,6,FALSE)</f>
        <v>#N/A</v>
      </c>
      <c r="M186" s="86"/>
      <c r="N186" s="86"/>
      <c r="O186" s="86"/>
      <c r="P186" s="86"/>
      <c r="Q186" s="40" t="e">
        <f>VLOOKUP(B186,辅助信息!E:M,9,FALSE)</f>
        <v>#N/A</v>
      </c>
      <c r="R186" s="26"/>
    </row>
    <row r="187" ht="45" hidden="1" customHeight="1" spans="2:18">
      <c r="B187" s="40" t="s">
        <v>63</v>
      </c>
      <c r="C187" s="70">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7" t="e">
        <f>VLOOKUP(B187,辅助信息!E:J,6,FALSE)</f>
        <v>#N/A</v>
      </c>
      <c r="M187" s="77"/>
      <c r="N187" s="77"/>
      <c r="O187" s="77"/>
      <c r="P187" s="77"/>
      <c r="Q187" s="40" t="e">
        <f>VLOOKUP(B187,辅助信息!E:M,9,FALSE)</f>
        <v>#N/A</v>
      </c>
      <c r="R187" s="26"/>
    </row>
    <row r="188" hidden="1" spans="2:18">
      <c r="B188" s="40" t="s">
        <v>64</v>
      </c>
      <c r="C188" s="70">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7" t="e">
        <f>VLOOKUP(B188,辅助信息!E:J,6,FALSE)</f>
        <v>#N/A</v>
      </c>
      <c r="M188" s="77"/>
      <c r="N188" s="77"/>
      <c r="O188" s="77"/>
      <c r="P188" s="77"/>
      <c r="Q188" s="40" t="e">
        <f>VLOOKUP(B188,辅助信息!E:M,9,FALSE)</f>
        <v>#N/A</v>
      </c>
      <c r="R188" s="26"/>
    </row>
    <row r="189" hidden="1" spans="2:18">
      <c r="B189" s="40" t="s">
        <v>64</v>
      </c>
      <c r="C189" s="70">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8"/>
      <c r="M189" s="77"/>
      <c r="N189" s="77"/>
      <c r="O189" s="77"/>
      <c r="P189" s="77"/>
      <c r="Q189" s="40" t="e">
        <f>VLOOKUP(B189,辅助信息!E:M,9,FALSE)</f>
        <v>#N/A</v>
      </c>
      <c r="R189" s="26"/>
    </row>
    <row r="190" hidden="1" spans="2:18">
      <c r="B190" s="40" t="s">
        <v>64</v>
      </c>
      <c r="C190" s="70">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8"/>
      <c r="M190" s="77"/>
      <c r="N190" s="77"/>
      <c r="O190" s="77"/>
      <c r="P190" s="77"/>
      <c r="Q190" s="40" t="e">
        <f>VLOOKUP(B190,辅助信息!E:M,9,FALSE)</f>
        <v>#N/A</v>
      </c>
      <c r="R190" s="26"/>
    </row>
    <row r="191" hidden="1" spans="2:18">
      <c r="B191" s="40" t="s">
        <v>64</v>
      </c>
      <c r="C191" s="70">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8"/>
      <c r="M191" s="77"/>
      <c r="N191" s="77"/>
      <c r="O191" s="77"/>
      <c r="P191" s="77"/>
      <c r="Q191" s="40" t="e">
        <f>VLOOKUP(B191,辅助信息!E:M,9,FALSE)</f>
        <v>#N/A</v>
      </c>
      <c r="R191" s="26"/>
    </row>
    <row r="192" hidden="1" spans="2:18">
      <c r="B192" s="40" t="s">
        <v>64</v>
      </c>
      <c r="C192" s="70">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6"/>
      <c r="M192" s="77"/>
      <c r="N192" s="77"/>
      <c r="O192" s="77"/>
      <c r="P192" s="77"/>
      <c r="Q192" s="40" t="e">
        <f>VLOOKUP(B192,辅助信息!E:M,9,FALSE)</f>
        <v>#N/A</v>
      </c>
      <c r="R192" s="26"/>
    </row>
    <row r="193" hidden="1" spans="1:18">
      <c r="A193" s="82"/>
      <c r="B193" s="40" t="s">
        <v>56</v>
      </c>
      <c r="C193" s="70">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7" t="str">
        <f>VLOOKUP(B193,辅助信息!E:J,6,FALSE)</f>
        <v>控制炉批号！多了现场不收！,优先安排达钢,提前联系到场规格及数量</v>
      </c>
      <c r="M193" s="77"/>
      <c r="N193" s="77"/>
      <c r="O193" s="77"/>
      <c r="P193" s="77"/>
      <c r="Q193" s="40" t="str">
        <f>VLOOKUP(B193,辅助信息!E:M,9,FALSE)</f>
        <v>ZTWM-CDGS-XS-2024-0134-商投建工达州中医药科技成果示范园项目</v>
      </c>
      <c r="R193" s="26"/>
    </row>
    <row r="194" hidden="1" spans="1:18">
      <c r="A194" s="78"/>
      <c r="B194" s="40" t="s">
        <v>56</v>
      </c>
      <c r="C194" s="70">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8"/>
      <c r="M194" s="77"/>
      <c r="N194" s="77"/>
      <c r="O194" s="77"/>
      <c r="P194" s="77"/>
      <c r="Q194" s="40" t="str">
        <f>VLOOKUP(B194,辅助信息!E:M,9,FALSE)</f>
        <v>ZTWM-CDGS-XS-2024-0134-商投建工达州中医药科技成果示范园项目</v>
      </c>
      <c r="R194" s="26"/>
    </row>
    <row r="195" hidden="1" spans="1:18">
      <c r="A195" s="78"/>
      <c r="B195" s="40" t="s">
        <v>56</v>
      </c>
      <c r="C195" s="70">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8"/>
      <c r="M195" s="77"/>
      <c r="N195" s="77"/>
      <c r="O195" s="77"/>
      <c r="P195" s="77"/>
      <c r="Q195" s="40" t="str">
        <f>VLOOKUP(B195,辅助信息!E:M,9,FALSE)</f>
        <v>ZTWM-CDGS-XS-2024-0134-商投建工达州中医药科技成果示范园项目</v>
      </c>
      <c r="R195" s="26"/>
    </row>
    <row r="196" hidden="1" spans="1:18">
      <c r="A196" s="76"/>
      <c r="B196" s="40" t="s">
        <v>56</v>
      </c>
      <c r="C196" s="70">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6"/>
      <c r="M196" s="77"/>
      <c r="N196" s="77"/>
      <c r="O196" s="77"/>
      <c r="P196" s="77"/>
      <c r="Q196" s="40" t="str">
        <f>VLOOKUP(B196,辅助信息!E:M,9,FALSE)</f>
        <v>ZTWM-CDGS-XS-2024-0134-商投建工达州中医药科技成果示范园项目</v>
      </c>
      <c r="R196" s="26"/>
    </row>
    <row r="197" hidden="1" spans="2:18">
      <c r="B197" s="40" t="s">
        <v>48</v>
      </c>
      <c r="C197" s="70">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7" t="str">
        <f>VLOOKUP(B197,辅助信息!E:J,6,FALSE)</f>
        <v>优先威钢,我方卸车,新老国标钢厂不加价可直发</v>
      </c>
      <c r="M197" s="77"/>
      <c r="N197" s="77"/>
      <c r="O197" s="77"/>
      <c r="P197" s="77"/>
      <c r="Q197" s="40" t="str">
        <f>VLOOKUP(B197,辅助信息!E:M,9,FALSE)</f>
        <v>ZTWM-CDGS-XS-2024-0093-华西-颐海科创农业生态谷</v>
      </c>
      <c r="R197" s="26"/>
    </row>
    <row r="198" hidden="1" spans="2:18">
      <c r="B198" s="40" t="s">
        <v>48</v>
      </c>
      <c r="C198" s="70">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8"/>
      <c r="M198" s="77"/>
      <c r="N198" s="77"/>
      <c r="O198" s="77"/>
      <c r="P198" s="77"/>
      <c r="Q198" s="40" t="str">
        <f>VLOOKUP(B198,辅助信息!E:M,9,FALSE)</f>
        <v>ZTWM-CDGS-XS-2024-0093-华西-颐海科创农业生态谷</v>
      </c>
      <c r="R198" s="26"/>
    </row>
    <row r="199" hidden="1" spans="2:18">
      <c r="B199" s="40" t="s">
        <v>48</v>
      </c>
      <c r="C199" s="70">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6"/>
      <c r="M199" s="77"/>
      <c r="N199" s="77"/>
      <c r="O199" s="77"/>
      <c r="P199" s="77"/>
      <c r="Q199" s="40" t="str">
        <f>VLOOKUP(B199,辅助信息!E:M,9,FALSE)</f>
        <v>ZTWM-CDGS-XS-2024-0093-华西-颐海科创农业生态谷</v>
      </c>
      <c r="R199" s="26"/>
    </row>
    <row r="200" hidden="1" spans="2:18">
      <c r="B200" s="40" t="s">
        <v>44</v>
      </c>
      <c r="C200" s="70">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6" t="str">
        <f>VLOOKUP(B200,辅助信息!E:J,6,FALSE)</f>
        <v>对方卸车</v>
      </c>
      <c r="M200" s="86"/>
      <c r="N200" s="86"/>
      <c r="O200" s="86"/>
      <c r="P200" s="86"/>
      <c r="Q200" s="40" t="str">
        <f>VLOOKUP(B200,辅助信息!E:M,9,FALSE)</f>
        <v>ZTWM-CDGS-XS-2024-0189-华西集采-酒城南项目</v>
      </c>
      <c r="R200" s="26"/>
    </row>
    <row r="201" hidden="1" spans="1:18">
      <c r="A201" s="71" t="s">
        <v>67</v>
      </c>
      <c r="B201" s="40" t="s">
        <v>17</v>
      </c>
      <c r="C201" s="70">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7" t="str">
        <f>VLOOKUP(B201,辅助信息!E:J,6,FALSE)</f>
        <v>提前联系到场规格,一天到场车辆不低于2车</v>
      </c>
      <c r="M201" s="77"/>
      <c r="N201" s="77"/>
      <c r="O201" s="77"/>
      <c r="P201" s="77"/>
      <c r="Q201" s="40" t="str">
        <f>VLOOKUP(B201,辅助信息!E:M,9,FALSE)</f>
        <v>ZTWM-CDGS-XS-2024-0205-五冶钢构-达州市通川区西外复兴镇及临近片区建设项目</v>
      </c>
      <c r="R201" s="26"/>
    </row>
    <row r="202" hidden="1" spans="2:18">
      <c r="B202" s="40" t="s">
        <v>17</v>
      </c>
      <c r="C202" s="70">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8"/>
      <c r="M202" s="77"/>
      <c r="N202" s="77"/>
      <c r="O202" s="77"/>
      <c r="P202" s="77"/>
      <c r="Q202" s="40" t="str">
        <f>VLOOKUP(B202,辅助信息!E:M,9,FALSE)</f>
        <v>ZTWM-CDGS-XS-2024-0205-五冶钢构-达州市通川区西外复兴镇及临近片区建设项目</v>
      </c>
      <c r="R202" s="26"/>
    </row>
    <row r="203" hidden="1" spans="2:18">
      <c r="B203" s="40" t="s">
        <v>17</v>
      </c>
      <c r="C203" s="70">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6"/>
      <c r="M203" s="77"/>
      <c r="N203" s="77"/>
      <c r="O203" s="77"/>
      <c r="P203" s="77"/>
      <c r="Q203" s="40" t="str">
        <f>VLOOKUP(B203,辅助信息!E:M,9,FALSE)</f>
        <v>ZTWM-CDGS-XS-2024-0205-五冶钢构-达州市通川区西外复兴镇及临近片区建设项目</v>
      </c>
      <c r="R203" s="26"/>
    </row>
    <row r="204" ht="56.25" hidden="1" customHeight="1" spans="2:18">
      <c r="B204" s="40" t="s">
        <v>54</v>
      </c>
      <c r="C204" s="70">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7" t="e">
        <f>VLOOKUP(B204,辅助信息!E:J,6,FALSE)</f>
        <v>#N/A</v>
      </c>
      <c r="M204" s="77"/>
      <c r="N204" s="77"/>
      <c r="O204" s="77"/>
      <c r="P204" s="77"/>
      <c r="Q204" s="40" t="e">
        <f>VLOOKUP(B204,辅助信息!E:M,9,FALSE)</f>
        <v>#N/A</v>
      </c>
      <c r="R204" s="26"/>
    </row>
    <row r="205" hidden="1" spans="2:18">
      <c r="B205" s="40" t="s">
        <v>64</v>
      </c>
      <c r="C205" s="70">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7" t="e">
        <f>VLOOKUP(B205,辅助信息!E:J,6,FALSE)</f>
        <v>#N/A</v>
      </c>
      <c r="M205" s="77"/>
      <c r="N205" s="77"/>
      <c r="O205" s="77"/>
      <c r="P205" s="77"/>
      <c r="Q205" s="40" t="e">
        <f>VLOOKUP(B205,辅助信息!E:M,9,FALSE)</f>
        <v>#N/A</v>
      </c>
      <c r="R205" s="26"/>
    </row>
    <row r="206" hidden="1" spans="2:18">
      <c r="B206" s="40" t="s">
        <v>64</v>
      </c>
      <c r="C206" s="70">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8"/>
      <c r="M206" s="77"/>
      <c r="N206" s="77"/>
      <c r="O206" s="77"/>
      <c r="P206" s="77"/>
      <c r="Q206" s="40" t="e">
        <f>VLOOKUP(B206,辅助信息!E:M,9,FALSE)</f>
        <v>#N/A</v>
      </c>
      <c r="R206" s="26"/>
    </row>
    <row r="207" hidden="1" spans="2:18">
      <c r="B207" s="40" t="s">
        <v>64</v>
      </c>
      <c r="C207" s="70">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6"/>
      <c r="M207" s="77"/>
      <c r="N207" s="77"/>
      <c r="O207" s="77"/>
      <c r="P207" s="77"/>
      <c r="Q207" s="40" t="e">
        <f>VLOOKUP(B207,辅助信息!E:M,9,FALSE)</f>
        <v>#N/A</v>
      </c>
      <c r="R207" s="26"/>
    </row>
    <row r="208" hidden="1" spans="2:18">
      <c r="B208" s="40" t="s">
        <v>56</v>
      </c>
      <c r="C208" s="70">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7" t="str">
        <f>VLOOKUP(B208,辅助信息!E:J,6,FALSE)</f>
        <v>控制炉批号！多了现场不收！,优先安排达钢,提前联系到场规格及数量</v>
      </c>
      <c r="M208" s="77"/>
      <c r="N208" s="77"/>
      <c r="O208" s="77"/>
      <c r="P208" s="77"/>
      <c r="Q208" s="40" t="str">
        <f>VLOOKUP(B208,辅助信息!E:M,9,FALSE)</f>
        <v>ZTWM-CDGS-XS-2024-0134-商投建工达州中医药科技成果示范园项目</v>
      </c>
      <c r="R208" s="26"/>
    </row>
    <row r="209" hidden="1" spans="2:18">
      <c r="B209" s="40" t="s">
        <v>56</v>
      </c>
      <c r="C209" s="70">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8"/>
      <c r="M209" s="77"/>
      <c r="N209" s="77"/>
      <c r="O209" s="77"/>
      <c r="P209" s="77"/>
      <c r="Q209" s="40" t="str">
        <f>VLOOKUP(B209,辅助信息!E:M,9,FALSE)</f>
        <v>ZTWM-CDGS-XS-2024-0134-商投建工达州中医药科技成果示范园项目</v>
      </c>
      <c r="R209" s="26"/>
    </row>
    <row r="210" hidden="1" spans="2:18">
      <c r="B210" s="40" t="s">
        <v>56</v>
      </c>
      <c r="C210" s="70">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8"/>
      <c r="M210" s="77"/>
      <c r="N210" s="77"/>
      <c r="O210" s="77"/>
      <c r="P210" s="77"/>
      <c r="Q210" s="40" t="str">
        <f>VLOOKUP(B210,辅助信息!E:M,9,FALSE)</f>
        <v>ZTWM-CDGS-XS-2024-0134-商投建工达州中医药科技成果示范园项目</v>
      </c>
      <c r="R210" s="26"/>
    </row>
    <row r="211" hidden="1" spans="2:18">
      <c r="B211" s="40" t="s">
        <v>56</v>
      </c>
      <c r="C211" s="70">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6"/>
      <c r="M211" s="77"/>
      <c r="N211" s="77"/>
      <c r="O211" s="77"/>
      <c r="P211" s="77"/>
      <c r="Q211" s="40" t="str">
        <f>VLOOKUP(B211,辅助信息!E:M,9,FALSE)</f>
        <v>ZTWM-CDGS-XS-2024-0134-商投建工达州中医药科技成果示范园项目</v>
      </c>
      <c r="R211" s="26"/>
    </row>
    <row r="212" hidden="1" spans="2:18">
      <c r="B212" s="40" t="s">
        <v>48</v>
      </c>
      <c r="C212" s="70">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7" t="str">
        <f>VLOOKUP(B212,辅助信息!E:J,6,FALSE)</f>
        <v>优先威钢,我方卸车,新老国标钢厂不加价可直发</v>
      </c>
      <c r="M212" s="77"/>
      <c r="N212" s="77"/>
      <c r="O212" s="77"/>
      <c r="P212" s="77"/>
      <c r="Q212" s="40" t="str">
        <f>VLOOKUP(B212,辅助信息!E:M,9,FALSE)</f>
        <v>ZTWM-CDGS-XS-2024-0093-华西-颐海科创农业生态谷</v>
      </c>
      <c r="R212" s="26"/>
    </row>
    <row r="213" hidden="1" spans="2:18">
      <c r="B213" s="40" t="s">
        <v>48</v>
      </c>
      <c r="C213" s="70">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8"/>
      <c r="M213" s="77"/>
      <c r="N213" s="77"/>
      <c r="O213" s="77"/>
      <c r="P213" s="77"/>
      <c r="Q213" s="40" t="str">
        <f>VLOOKUP(B213,辅助信息!E:M,9,FALSE)</f>
        <v>ZTWM-CDGS-XS-2024-0093-华西-颐海科创农业生态谷</v>
      </c>
      <c r="R213" s="26"/>
    </row>
    <row r="214" hidden="1" spans="2:18">
      <c r="B214" s="40" t="s">
        <v>48</v>
      </c>
      <c r="C214" s="70">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6"/>
      <c r="M214" s="77"/>
      <c r="N214" s="77"/>
      <c r="O214" s="77"/>
      <c r="P214" s="77"/>
      <c r="Q214" s="40" t="str">
        <f>VLOOKUP(B214,辅助信息!E:M,9,FALSE)</f>
        <v>ZTWM-CDGS-XS-2024-0093-华西-颐海科创农业生态谷</v>
      </c>
      <c r="R214" s="26"/>
    </row>
    <row r="215" hidden="1" spans="2:18">
      <c r="B215" s="40" t="s">
        <v>44</v>
      </c>
      <c r="C215" s="70">
        <v>45667</v>
      </c>
      <c r="D215" s="40" t="str">
        <f>VLOOKUP(B215,辅助信息!E:K,7,FALSE)</f>
        <v>JWDDCD2025060600053</v>
      </c>
      <c r="E215" s="40" t="str">
        <f>VLOOKUP(F215,辅助信息!A:B,2,FALSE)</f>
        <v>盘螺</v>
      </c>
      <c r="F215" s="40" t="s">
        <v>26</v>
      </c>
      <c r="G215" s="87">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7" t="str">
        <f>VLOOKUP(B215,辅助信息!E:J,6,FALSE)</f>
        <v>对方卸车</v>
      </c>
      <c r="M215" s="77"/>
      <c r="N215" s="77"/>
      <c r="O215" s="77"/>
      <c r="P215" s="77"/>
      <c r="Q215" s="40" t="str">
        <f>VLOOKUP(B215,辅助信息!E:M,9,FALSE)</f>
        <v>ZTWM-CDGS-XS-2024-0189-华西集采-酒城南项目</v>
      </c>
      <c r="R215" s="26"/>
    </row>
    <row r="216" hidden="1" spans="2:18">
      <c r="B216" s="40" t="s">
        <v>31</v>
      </c>
      <c r="C216" s="70">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7" t="str">
        <f>VLOOKUP(B216,辅助信息!E:J,6,FALSE)</f>
        <v>提前联系到场规格及数量</v>
      </c>
      <c r="M216" s="77"/>
      <c r="N216" s="77"/>
      <c r="O216" s="77"/>
      <c r="P216" s="77"/>
      <c r="Q216" s="40" t="str">
        <f>VLOOKUP(B216,辅助信息!E:M,9,FALSE)</f>
        <v>ZTWM-CDGS-XS-2024-0179-四川商投-射洪城乡一体化建设项目</v>
      </c>
      <c r="R216" s="26"/>
    </row>
    <row r="217" hidden="1" spans="2:18">
      <c r="B217" s="40" t="s">
        <v>31</v>
      </c>
      <c r="C217" s="70">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8"/>
      <c r="M217" s="77"/>
      <c r="N217" s="77"/>
      <c r="O217" s="77"/>
      <c r="P217" s="77"/>
      <c r="Q217" s="40" t="str">
        <f>VLOOKUP(B217,辅助信息!E:M,9,FALSE)</f>
        <v>ZTWM-CDGS-XS-2024-0179-四川商投-射洪城乡一体化建设项目</v>
      </c>
      <c r="R217" s="26"/>
    </row>
    <row r="218" hidden="1" spans="2:18">
      <c r="B218" s="40" t="s">
        <v>31</v>
      </c>
      <c r="C218" s="70">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8"/>
      <c r="M218" s="77"/>
      <c r="N218" s="77"/>
      <c r="O218" s="77"/>
      <c r="P218" s="77"/>
      <c r="Q218" s="40" t="str">
        <f>VLOOKUP(B218,辅助信息!E:M,9,FALSE)</f>
        <v>ZTWM-CDGS-XS-2024-0179-四川商投-射洪城乡一体化建设项目</v>
      </c>
      <c r="R218" s="26"/>
    </row>
    <row r="219" hidden="1" spans="2:18">
      <c r="B219" s="40" t="s">
        <v>31</v>
      </c>
      <c r="C219" s="70">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6"/>
      <c r="M219" s="77"/>
      <c r="N219" s="77"/>
      <c r="O219" s="77"/>
      <c r="P219" s="77"/>
      <c r="Q219" s="40" t="str">
        <f>VLOOKUP(B219,辅助信息!E:M,9,FALSE)</f>
        <v>ZTWM-CDGS-XS-2024-0179-四川商投-射洪城乡一体化建设项目</v>
      </c>
      <c r="R219" s="26"/>
    </row>
    <row r="220" hidden="1" spans="2:18">
      <c r="B220" s="40" t="s">
        <v>43</v>
      </c>
      <c r="C220" s="70">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7"/>
      <c r="M220" s="57"/>
      <c r="N220" s="57"/>
      <c r="O220" s="57"/>
      <c r="P220" s="57"/>
      <c r="Q220" s="26"/>
      <c r="R220" s="26"/>
    </row>
    <row r="221" hidden="1" spans="2:18">
      <c r="B221" s="40" t="s">
        <v>43</v>
      </c>
      <c r="C221" s="70">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7"/>
      <c r="M221" s="57"/>
      <c r="N221" s="57"/>
      <c r="O221" s="57"/>
      <c r="P221" s="57"/>
      <c r="Q221" s="26"/>
      <c r="R221" s="26"/>
    </row>
    <row r="222" hidden="1" spans="2:18">
      <c r="B222" s="40" t="s">
        <v>43</v>
      </c>
      <c r="C222" s="70">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7"/>
      <c r="M222" s="57"/>
      <c r="N222" s="57"/>
      <c r="O222" s="57"/>
      <c r="P222" s="57"/>
      <c r="Q222" s="26"/>
      <c r="R222" s="26"/>
    </row>
    <row r="223" hidden="1" spans="2:18">
      <c r="B223" s="40" t="s">
        <v>68</v>
      </c>
      <c r="C223" s="70">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7"/>
      <c r="M223" s="57"/>
      <c r="N223" s="57"/>
      <c r="O223" s="57"/>
      <c r="P223" s="57"/>
      <c r="Q223" s="26"/>
      <c r="R223" s="26"/>
    </row>
    <row r="224" hidden="1" spans="2:18">
      <c r="B224" s="40" t="s">
        <v>68</v>
      </c>
      <c r="C224" s="70">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7"/>
      <c r="M224" s="57"/>
      <c r="N224" s="57"/>
      <c r="O224" s="57"/>
      <c r="P224" s="57"/>
      <c r="Q224" s="26"/>
      <c r="R224" s="26"/>
    </row>
    <row r="225" hidden="1" spans="2:18">
      <c r="B225" s="40" t="s">
        <v>68</v>
      </c>
      <c r="C225" s="70">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7"/>
      <c r="M225" s="57"/>
      <c r="N225" s="57"/>
      <c r="O225" s="57"/>
      <c r="P225" s="57"/>
      <c r="Q225" s="26"/>
      <c r="R225" s="26"/>
    </row>
    <row r="226" hidden="1" spans="2:18">
      <c r="B226" s="40" t="s">
        <v>69</v>
      </c>
      <c r="C226" s="70">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7"/>
      <c r="M226" s="57"/>
      <c r="N226" s="57"/>
      <c r="O226" s="57"/>
      <c r="P226" s="57"/>
      <c r="Q226" s="26"/>
      <c r="R226" s="26"/>
    </row>
    <row r="227" hidden="1" spans="2:18">
      <c r="B227" s="40" t="s">
        <v>69</v>
      </c>
      <c r="C227" s="70">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7"/>
      <c r="M227" s="57"/>
      <c r="N227" s="57"/>
      <c r="O227" s="57"/>
      <c r="P227" s="57"/>
      <c r="Q227" s="26"/>
      <c r="R227" s="26"/>
    </row>
    <row r="228" hidden="1" spans="2:18">
      <c r="B228" s="40" t="s">
        <v>69</v>
      </c>
      <c r="C228" s="70">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7"/>
      <c r="M228" s="57"/>
      <c r="N228" s="57"/>
      <c r="O228" s="57"/>
      <c r="P228" s="57"/>
      <c r="Q228" s="26"/>
      <c r="R228" s="26"/>
    </row>
    <row r="229" hidden="1" spans="2:18">
      <c r="B229" s="40" t="s">
        <v>56</v>
      </c>
      <c r="C229" s="70">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7"/>
      <c r="M229" s="57"/>
      <c r="N229" s="57"/>
      <c r="O229" s="57"/>
      <c r="P229" s="57"/>
      <c r="Q229" s="26"/>
      <c r="R229" s="26"/>
    </row>
    <row r="230" hidden="1" spans="2:18">
      <c r="B230" s="40" t="s">
        <v>56</v>
      </c>
      <c r="C230" s="70">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7"/>
      <c r="M230" s="57"/>
      <c r="N230" s="57"/>
      <c r="O230" s="57"/>
      <c r="P230" s="57"/>
      <c r="Q230" s="26"/>
      <c r="R230" s="26"/>
    </row>
    <row r="231" hidden="1" spans="2:18">
      <c r="B231" s="40" t="s">
        <v>56</v>
      </c>
      <c r="C231" s="70">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7"/>
      <c r="M231" s="57"/>
      <c r="N231" s="57"/>
      <c r="O231" s="57"/>
      <c r="P231" s="57"/>
      <c r="Q231" s="26"/>
      <c r="R231" s="26"/>
    </row>
    <row r="232" hidden="1" spans="2:18">
      <c r="B232" s="83" t="s">
        <v>56</v>
      </c>
      <c r="C232" s="84">
        <v>45667</v>
      </c>
      <c r="D232" s="83" t="str">
        <f>VLOOKUP(B232,辅助信息!E:K,7,FALSE)</f>
        <v>JWDDCD2025052800131</v>
      </c>
      <c r="E232" s="83" t="str">
        <f>VLOOKUP(F232,辅助信息!A:B,2,FALSE)</f>
        <v>螺纹钢</v>
      </c>
      <c r="F232" s="83" t="s">
        <v>46</v>
      </c>
      <c r="G232" s="85">
        <v>9</v>
      </c>
      <c r="H232" s="85" t="e">
        <f>_xlfn._xlws.FILTER(#REF!,#REF!&amp;#REF!&amp;#REF!&amp;#REF!=C232&amp;F232&amp;I232&amp;J232,"未发货")</f>
        <v>#REF!</v>
      </c>
      <c r="I232" s="83" t="str">
        <f>VLOOKUP(B232,辅助信息!E:I,3,FALSE)</f>
        <v>（商投建工达州中医药科技园-4工区-7号楼）达州市通川区达州中医药职业学院犀牛大道北段</v>
      </c>
      <c r="J232" s="83" t="str">
        <f>VLOOKUP(B232,辅助信息!E:I,4,FALSE)</f>
        <v>张扬</v>
      </c>
      <c r="K232" s="83">
        <f>VLOOKUP(J232,辅助信息!H:I,2,FALSE)</f>
        <v>18381904567</v>
      </c>
      <c r="L232" s="57"/>
      <c r="M232" s="57"/>
      <c r="N232" s="57"/>
      <c r="O232" s="57"/>
      <c r="P232" s="57"/>
      <c r="Q232" s="26"/>
      <c r="R232" s="26"/>
    </row>
    <row r="233" hidden="1" spans="2:18">
      <c r="B233" s="40" t="s">
        <v>17</v>
      </c>
      <c r="C233" s="70">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79">
        <f>VLOOKUP(J233,辅助信息!H:I,2,FALSE)</f>
        <v>13658059919</v>
      </c>
      <c r="L233" s="88"/>
      <c r="M233" s="57"/>
      <c r="N233" s="57"/>
      <c r="O233" s="57"/>
      <c r="P233" s="57"/>
      <c r="Q233" s="26" t="str">
        <f>VLOOKUP(B233,辅助信息!E:M,9,FALSE)</f>
        <v>ZTWM-CDGS-XS-2024-0205-五冶钢构-达州市通川区西外复兴镇及临近片区建设项目</v>
      </c>
      <c r="R233" s="26"/>
    </row>
    <row r="234" hidden="1" spans="2:18">
      <c r="B234" s="40" t="s">
        <v>48</v>
      </c>
      <c r="C234" s="70">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7" t="str">
        <f>VLOOKUP(B234,辅助信息!E:J,6,FALSE)</f>
        <v>优先威钢,我方卸车,新老国标钢厂不加价可直发</v>
      </c>
      <c r="M234" s="57"/>
      <c r="N234" s="57"/>
      <c r="O234" s="57"/>
      <c r="P234" s="57"/>
      <c r="Q234" s="26" t="str">
        <f>VLOOKUP(B234,辅助信息!E:M,9,FALSE)</f>
        <v>ZTWM-CDGS-XS-2024-0093-华西-颐海科创农业生态谷</v>
      </c>
      <c r="R234" s="26"/>
    </row>
    <row r="235" hidden="1" spans="2:18">
      <c r="B235" s="40" t="s">
        <v>48</v>
      </c>
      <c r="C235" s="70">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8"/>
      <c r="M235" s="57"/>
      <c r="N235" s="57"/>
      <c r="O235" s="57"/>
      <c r="P235" s="57"/>
      <c r="Q235" s="26" t="str">
        <f>VLOOKUP(B235,辅助信息!E:M,9,FALSE)</f>
        <v>ZTWM-CDGS-XS-2024-0093-华西-颐海科创农业生态谷</v>
      </c>
      <c r="R235" s="26"/>
    </row>
    <row r="236" hidden="1" spans="2:18">
      <c r="B236" s="40" t="s">
        <v>48</v>
      </c>
      <c r="C236" s="70">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6"/>
      <c r="M236" s="57"/>
      <c r="N236" s="57"/>
      <c r="O236" s="57"/>
      <c r="P236" s="57"/>
      <c r="Q236" s="26" t="str">
        <f>VLOOKUP(B236,辅助信息!E:M,9,FALSE)</f>
        <v>ZTWM-CDGS-XS-2024-0093-华西-颐海科创农业生态谷</v>
      </c>
      <c r="R236" s="26"/>
    </row>
    <row r="237" hidden="1" spans="2:18">
      <c r="B237" s="40" t="s">
        <v>44</v>
      </c>
      <c r="C237" s="70">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7" t="str">
        <f>VLOOKUP(B237,辅助信息!E:J,6,FALSE)</f>
        <v>对方卸车</v>
      </c>
      <c r="M237" s="57"/>
      <c r="N237" s="57"/>
      <c r="O237" s="57"/>
      <c r="P237" s="57"/>
      <c r="Q237" s="26" t="str">
        <f>VLOOKUP(B237,辅助信息!E:M,9,FALSE)</f>
        <v>ZTWM-CDGS-XS-2024-0189-华西集采-酒城南项目</v>
      </c>
      <c r="R237" s="26"/>
    </row>
    <row r="238" hidden="1" spans="2:18">
      <c r="B238" s="40" t="s">
        <v>31</v>
      </c>
      <c r="C238" s="70">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7" t="str">
        <f>VLOOKUP(B238,辅助信息!E:J,6,FALSE)</f>
        <v>提前联系到场规格及数量</v>
      </c>
      <c r="M238" s="57"/>
      <c r="N238" s="57"/>
      <c r="O238" s="57"/>
      <c r="P238" s="57"/>
      <c r="Q238" s="26" t="str">
        <f>VLOOKUP(B238,辅助信息!E:M,9,FALSE)</f>
        <v>ZTWM-CDGS-XS-2024-0179-四川商投-射洪城乡一体化建设项目</v>
      </c>
      <c r="R238" s="26"/>
    </row>
    <row r="239" hidden="1" spans="2:18">
      <c r="B239" s="40" t="s">
        <v>31</v>
      </c>
      <c r="C239" s="70">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6"/>
      <c r="M239" s="57"/>
      <c r="N239" s="57"/>
      <c r="O239" s="57"/>
      <c r="P239" s="57"/>
      <c r="Q239" s="26"/>
      <c r="R239" s="26"/>
    </row>
    <row r="240" hidden="1" spans="2:18">
      <c r="B240" s="40" t="s">
        <v>68</v>
      </c>
      <c r="C240" s="70">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7" t="str">
        <f>VLOOKUP(B240,辅助信息!E:J,6,FALSE)</f>
        <v>控制炉批号！多了现场不收！,优先安排达钢,提前联系到场规格及数量</v>
      </c>
      <c r="M240" s="57"/>
      <c r="N240" s="57"/>
      <c r="O240" s="57"/>
      <c r="P240" s="57"/>
      <c r="Q240" s="26" t="str">
        <f>VLOOKUP(B240,辅助信息!E:M,9,FALSE)</f>
        <v>ZTWM-CDGS-XS-2024-0134-商投建工达州中医药科技成果示范园项目</v>
      </c>
      <c r="R240" s="26"/>
    </row>
    <row r="241" hidden="1" spans="2:18">
      <c r="B241" s="40" t="s">
        <v>68</v>
      </c>
      <c r="C241" s="70">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8"/>
      <c r="M241" s="57"/>
      <c r="N241" s="57"/>
      <c r="O241" s="57"/>
      <c r="P241" s="57"/>
      <c r="Q241" s="26" t="str">
        <f>VLOOKUP(B241,辅助信息!E:M,9,FALSE)</f>
        <v>ZTWM-CDGS-XS-2024-0134-商投建工达州中医药科技成果示范园项目</v>
      </c>
      <c r="R241" s="26"/>
    </row>
    <row r="242" hidden="1" spans="2:18">
      <c r="B242" s="40" t="s">
        <v>68</v>
      </c>
      <c r="C242" s="70">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6"/>
      <c r="M242" s="57"/>
      <c r="N242" s="57"/>
      <c r="O242" s="57"/>
      <c r="P242" s="57"/>
      <c r="Q242" s="26" t="str">
        <f>VLOOKUP(B242,辅助信息!E:M,9,FALSE)</f>
        <v>ZTWM-CDGS-XS-2024-0134-商投建工达州中医药科技成果示范园项目</v>
      </c>
      <c r="R242" s="26"/>
    </row>
    <row r="243" hidden="1" spans="2:18">
      <c r="B243" s="40" t="s">
        <v>69</v>
      </c>
      <c r="C243" s="70">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7" t="str">
        <f>VLOOKUP(B243,辅助信息!E:J,6,FALSE)</f>
        <v>控制炉批号！多了现场不收！,优先安排达钢,提前联系到场规格及数量</v>
      </c>
      <c r="M243" s="57"/>
      <c r="N243" s="57"/>
      <c r="O243" s="57"/>
      <c r="P243" s="57"/>
      <c r="Q243" s="26" t="str">
        <f>VLOOKUP(B243,辅助信息!E:M,9,FALSE)</f>
        <v>ZTWM-CDGS-XS-2024-0134-商投建工达州中医药科技成果示范园项目</v>
      </c>
      <c r="R243" s="26"/>
    </row>
    <row r="244" hidden="1" spans="2:18">
      <c r="B244" s="40" t="s">
        <v>69</v>
      </c>
      <c r="C244" s="70">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8"/>
      <c r="M244" s="57"/>
      <c r="N244" s="57"/>
      <c r="O244" s="57"/>
      <c r="P244" s="57"/>
      <c r="Q244" s="26" t="str">
        <f>VLOOKUP(B244,辅助信息!E:M,9,FALSE)</f>
        <v>ZTWM-CDGS-XS-2024-0134-商投建工达州中医药科技成果示范园项目</v>
      </c>
      <c r="R244" s="26"/>
    </row>
    <row r="245" hidden="1" spans="2:18">
      <c r="B245" s="40" t="s">
        <v>69</v>
      </c>
      <c r="C245" s="70">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8"/>
      <c r="M245" s="57"/>
      <c r="N245" s="57"/>
      <c r="O245" s="57"/>
      <c r="P245" s="57"/>
      <c r="Q245" s="26" t="str">
        <f>VLOOKUP(B245,辅助信息!E:M,9,FALSE)</f>
        <v>ZTWM-CDGS-XS-2024-0134-商投建工达州中医药科技成果示范园项目</v>
      </c>
      <c r="R245" s="26"/>
    </row>
    <row r="246" hidden="1" spans="2:18">
      <c r="B246" s="40" t="s">
        <v>56</v>
      </c>
      <c r="C246" s="70">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8"/>
      <c r="M246" s="57"/>
      <c r="N246" s="57"/>
      <c r="O246" s="57"/>
      <c r="P246" s="57"/>
      <c r="Q246" s="26" t="str">
        <f>VLOOKUP(B246,辅助信息!E:M,9,FALSE)</f>
        <v>ZTWM-CDGS-XS-2024-0134-商投建工达州中医药科技成果示范园项目</v>
      </c>
      <c r="R246" s="26"/>
    </row>
    <row r="247" hidden="1" spans="2:18">
      <c r="B247" s="40" t="s">
        <v>56</v>
      </c>
      <c r="C247" s="70">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8"/>
      <c r="M247" s="57"/>
      <c r="N247" s="57"/>
      <c r="O247" s="57"/>
      <c r="P247" s="57"/>
      <c r="Q247" s="26" t="str">
        <f>VLOOKUP(B247,辅助信息!E:M,9,FALSE)</f>
        <v>ZTWM-CDGS-XS-2024-0134-商投建工达州中医药科技成果示范园项目</v>
      </c>
      <c r="R247" s="26"/>
    </row>
    <row r="248" hidden="1" spans="2:18">
      <c r="B248" s="40" t="s">
        <v>56</v>
      </c>
      <c r="C248" s="70">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8"/>
      <c r="M248" s="57"/>
      <c r="N248" s="57"/>
      <c r="O248" s="57"/>
      <c r="P248" s="57"/>
      <c r="Q248" s="26" t="str">
        <f>VLOOKUP(B248,辅助信息!E:M,9,FALSE)</f>
        <v>ZTWM-CDGS-XS-2024-0134-商投建工达州中医药科技成果示范园项目</v>
      </c>
      <c r="R248" s="26"/>
    </row>
    <row r="249" hidden="1" spans="2:18">
      <c r="B249" s="40" t="s">
        <v>56</v>
      </c>
      <c r="C249" s="70">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6"/>
      <c r="M249" s="57"/>
      <c r="N249" s="57"/>
      <c r="O249" s="57"/>
      <c r="P249" s="57"/>
      <c r="Q249" s="26" t="str">
        <f>VLOOKUP(B249,辅助信息!E:M,9,FALSE)</f>
        <v>ZTWM-CDGS-XS-2024-0134-商投建工达州中医药科技成果示范园项目</v>
      </c>
      <c r="R249" s="26"/>
    </row>
    <row r="250" hidden="1" spans="2:18">
      <c r="B250" s="40" t="s">
        <v>17</v>
      </c>
      <c r="C250" s="70">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7" t="str">
        <f>VLOOKUP(B250,辅助信息!E:J,6,FALSE)</f>
        <v>提前联系到场规格,一天到场车辆不低于2车</v>
      </c>
      <c r="M250" s="57"/>
      <c r="N250" s="57"/>
      <c r="O250" s="57"/>
      <c r="P250" s="57"/>
      <c r="Q250" s="26" t="str">
        <f>VLOOKUP(B250,辅助信息!E:M,9,FALSE)</f>
        <v>ZTWM-CDGS-XS-2024-0205-五冶钢构-达州市通川区西外复兴镇及临近片区建设项目</v>
      </c>
      <c r="R250" s="26"/>
    </row>
    <row r="251" hidden="1" spans="2:18">
      <c r="B251" s="40" t="s">
        <v>17</v>
      </c>
      <c r="C251" s="70">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8"/>
      <c r="M251" s="57"/>
      <c r="N251" s="57"/>
      <c r="O251" s="57"/>
      <c r="P251" s="57"/>
      <c r="Q251" s="26" t="str">
        <f>VLOOKUP(B251,辅助信息!E:M,9,FALSE)</f>
        <v>ZTWM-CDGS-XS-2024-0205-五冶钢构-达州市通川区西外复兴镇及临近片区建设项目</v>
      </c>
      <c r="R251" s="26"/>
    </row>
    <row r="252" hidden="1" spans="2:18">
      <c r="B252" s="40" t="s">
        <v>17</v>
      </c>
      <c r="C252" s="70">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8"/>
      <c r="M252" s="57"/>
      <c r="N252" s="57"/>
      <c r="O252" s="57"/>
      <c r="P252" s="57"/>
      <c r="Q252" s="26" t="str">
        <f>VLOOKUP(B252,辅助信息!E:M,9,FALSE)</f>
        <v>ZTWM-CDGS-XS-2024-0205-五冶钢构-达州市通川区西外复兴镇及临近片区建设项目</v>
      </c>
      <c r="R252" s="26"/>
    </row>
    <row r="253" hidden="1" spans="2:18">
      <c r="B253" s="40" t="s">
        <v>17</v>
      </c>
      <c r="C253" s="70">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8"/>
      <c r="M253" s="57"/>
      <c r="N253" s="57"/>
      <c r="O253" s="57"/>
      <c r="P253" s="57"/>
      <c r="Q253" s="26" t="str">
        <f>VLOOKUP(B253,辅助信息!E:M,9,FALSE)</f>
        <v>ZTWM-CDGS-XS-2024-0205-五冶钢构-达州市通川区西外复兴镇及临近片区建设项目</v>
      </c>
      <c r="R253" s="26"/>
    </row>
    <row r="254" hidden="1" spans="2:18">
      <c r="B254" s="40" t="s">
        <v>17</v>
      </c>
      <c r="C254" s="70">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8"/>
      <c r="M254" s="57"/>
      <c r="N254" s="57"/>
      <c r="O254" s="57"/>
      <c r="P254" s="57"/>
      <c r="Q254" s="26" t="str">
        <f>VLOOKUP(B254,辅助信息!E:M,9,FALSE)</f>
        <v>ZTWM-CDGS-XS-2024-0205-五冶钢构-达州市通川区西外复兴镇及临近片区建设项目</v>
      </c>
      <c r="R254" s="26"/>
    </row>
    <row r="255" hidden="1" spans="2:18">
      <c r="B255" s="40" t="s">
        <v>17</v>
      </c>
      <c r="C255" s="70">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8"/>
      <c r="M255" s="57"/>
      <c r="N255" s="57"/>
      <c r="O255" s="57"/>
      <c r="P255" s="57"/>
      <c r="Q255" s="26" t="str">
        <f>VLOOKUP(B255,辅助信息!E:M,9,FALSE)</f>
        <v>ZTWM-CDGS-XS-2024-0205-五冶钢构-达州市通川区西外复兴镇及临近片区建设项目</v>
      </c>
      <c r="R255" s="26"/>
    </row>
    <row r="256" hidden="1" spans="2:18">
      <c r="B256" s="83" t="s">
        <v>17</v>
      </c>
      <c r="C256" s="84">
        <v>45668</v>
      </c>
      <c r="D256" s="83" t="str">
        <f>VLOOKUP(B256,辅助信息!E:K,7,FALSE)</f>
        <v>JWDDCD2024101600090</v>
      </c>
      <c r="E256" s="83" t="str">
        <f>VLOOKUP(F256,辅助信息!A:B,2,FALSE)</f>
        <v>螺纹钢</v>
      </c>
      <c r="F256" s="83" t="s">
        <v>18</v>
      </c>
      <c r="G256" s="85">
        <v>18</v>
      </c>
      <c r="H256" s="85">
        <v>18</v>
      </c>
      <c r="I256" s="83" t="str">
        <f>VLOOKUP(B256,辅助信息!E:I,3,FALSE)</f>
        <v>（达州市公共卫生临床医疗中心项目-一标-1号制作房）达州市通川区西外复兴镇公共卫生临床医疗中心项目</v>
      </c>
      <c r="J256" s="83" t="str">
        <f>VLOOKUP(B256,辅助信息!E:I,4,FALSE)</f>
        <v>潘建发</v>
      </c>
      <c r="K256" s="83">
        <f>VLOOKUP(J256,辅助信息!H:I,2,FALSE)</f>
        <v>13658059919</v>
      </c>
      <c r="L256" s="76"/>
      <c r="M256" s="57"/>
      <c r="N256" s="57"/>
      <c r="O256" s="57"/>
      <c r="P256" s="57"/>
      <c r="Q256" s="26" t="str">
        <f>VLOOKUP(B256,辅助信息!E:M,9,FALSE)</f>
        <v>ZTWM-CDGS-XS-2024-0205-五冶钢构-达州市通川区西外复兴镇及临近片区建设项目</v>
      </c>
      <c r="R256" s="26"/>
    </row>
    <row r="257" hidden="1" spans="2:18">
      <c r="B257" s="40" t="s">
        <v>43</v>
      </c>
      <c r="C257" s="70">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7" t="str">
        <f>VLOOKUP(B257,辅助信息!E:J,6,FALSE)</f>
        <v>提前联系到场规格,一天到场车辆不低于2车</v>
      </c>
      <c r="M257" s="77"/>
      <c r="N257" s="77"/>
      <c r="O257" s="77"/>
      <c r="P257" s="77"/>
      <c r="Q257" s="40" t="str">
        <f>VLOOKUP(B257,辅助信息!E:M,9,FALSE)</f>
        <v>ZTWM-CDGS-XS-2024-0205-五冶钢构-达州市通川区西外复兴镇及临近片区建设项目</v>
      </c>
      <c r="R257" s="26"/>
    </row>
    <row r="258" hidden="1" spans="2:18">
      <c r="B258" s="40" t="s">
        <v>43</v>
      </c>
      <c r="C258" s="70">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8"/>
      <c r="M258" s="77"/>
      <c r="N258" s="77"/>
      <c r="O258" s="77"/>
      <c r="P258" s="77"/>
      <c r="Q258" s="40" t="str">
        <f>VLOOKUP(B258,辅助信息!E:M,9,FALSE)</f>
        <v>ZTWM-CDGS-XS-2024-0205-五冶钢构-达州市通川区西外复兴镇及临近片区建设项目</v>
      </c>
      <c r="R258" s="26"/>
    </row>
    <row r="259" hidden="1" spans="2:18">
      <c r="B259" s="40" t="s">
        <v>43</v>
      </c>
      <c r="C259" s="70">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6"/>
      <c r="M259" s="77"/>
      <c r="N259" s="77"/>
      <c r="O259" s="77"/>
      <c r="P259" s="77"/>
      <c r="Q259" s="40" t="str">
        <f>VLOOKUP(B259,辅助信息!E:M,9,FALSE)</f>
        <v>ZTWM-CDGS-XS-2024-0205-五冶钢构-达州市通川区西外复兴镇及临近片区建设项目</v>
      </c>
      <c r="R259" s="26"/>
    </row>
    <row r="260" hidden="1" spans="2:18">
      <c r="B260" s="40" t="s">
        <v>70</v>
      </c>
      <c r="C260" s="70">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7" t="e">
        <f>VLOOKUP(B260,辅助信息!E:J,6,FALSE)</f>
        <v>#N/A</v>
      </c>
      <c r="M260" s="77"/>
      <c r="N260" s="77"/>
      <c r="O260" s="77"/>
      <c r="P260" s="77"/>
      <c r="Q260" s="40" t="e">
        <f>VLOOKUP(B260,辅助信息!E:M,9,FALSE)</f>
        <v>#N/A</v>
      </c>
      <c r="R260" s="26"/>
    </row>
    <row r="261" hidden="1" spans="2:18">
      <c r="B261" s="40" t="s">
        <v>70</v>
      </c>
      <c r="C261" s="70">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6"/>
      <c r="M261" s="77"/>
      <c r="N261" s="77"/>
      <c r="O261" s="77"/>
      <c r="P261" s="77"/>
      <c r="Q261" s="40" t="e">
        <f>VLOOKUP(B261,辅助信息!E:M,9,FALSE)</f>
        <v>#N/A</v>
      </c>
      <c r="R261" s="26"/>
    </row>
    <row r="262" hidden="1" spans="2:18">
      <c r="B262" s="40" t="s">
        <v>64</v>
      </c>
      <c r="C262" s="70">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7" t="e">
        <f>VLOOKUP(B262,辅助信息!E:J,6,FALSE)</f>
        <v>#N/A</v>
      </c>
      <c r="M262" s="77"/>
      <c r="N262" s="77"/>
      <c r="O262" s="77"/>
      <c r="P262" s="77"/>
      <c r="Q262" s="40" t="e">
        <f>VLOOKUP(B262,辅助信息!E:M,9,FALSE)</f>
        <v>#N/A</v>
      </c>
      <c r="R262" s="26"/>
    </row>
    <row r="263" hidden="1" spans="2:18">
      <c r="B263" s="40" t="s">
        <v>64</v>
      </c>
      <c r="C263" s="70">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8"/>
      <c r="M263" s="77"/>
      <c r="N263" s="77"/>
      <c r="O263" s="77"/>
      <c r="P263" s="77"/>
      <c r="Q263" s="40" t="e">
        <f>VLOOKUP(B263,辅助信息!E:M,9,FALSE)</f>
        <v>#N/A</v>
      </c>
      <c r="R263" s="26"/>
    </row>
    <row r="264" hidden="1" spans="2:18">
      <c r="B264" s="40" t="s">
        <v>64</v>
      </c>
      <c r="C264" s="70">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8"/>
      <c r="M264" s="77"/>
      <c r="N264" s="77"/>
      <c r="O264" s="77"/>
      <c r="P264" s="77"/>
      <c r="Q264" s="40" t="e">
        <f>VLOOKUP(B264,辅助信息!E:M,9,FALSE)</f>
        <v>#N/A</v>
      </c>
      <c r="R264" s="26"/>
    </row>
    <row r="265" hidden="1" spans="2:18">
      <c r="B265" s="40" t="s">
        <v>64</v>
      </c>
      <c r="C265" s="70">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8"/>
      <c r="M265" s="77"/>
      <c r="N265" s="77"/>
      <c r="O265" s="77"/>
      <c r="P265" s="77"/>
      <c r="Q265" s="40" t="e">
        <f>VLOOKUP(B265,辅助信息!E:M,9,FALSE)</f>
        <v>#N/A</v>
      </c>
      <c r="R265" s="26"/>
    </row>
    <row r="266" hidden="1" spans="2:18">
      <c r="B266" s="40" t="s">
        <v>64</v>
      </c>
      <c r="C266" s="70">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6"/>
      <c r="M266" s="77"/>
      <c r="N266" s="77"/>
      <c r="O266" s="77"/>
      <c r="P266" s="77"/>
      <c r="Q266" s="40" t="e">
        <f>VLOOKUP(B266,辅助信息!E:M,9,FALSE)</f>
        <v>#N/A</v>
      </c>
      <c r="R266" s="26"/>
    </row>
    <row r="267" hidden="1" spans="2:18">
      <c r="B267" s="40" t="s">
        <v>48</v>
      </c>
      <c r="C267" s="70">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7" t="str">
        <f>VLOOKUP(B267,辅助信息!E:J,6,FALSE)</f>
        <v>优先威钢,我方卸车,新老国标钢厂不加价可直发</v>
      </c>
      <c r="M267" s="77"/>
      <c r="N267" s="77"/>
      <c r="O267" s="77"/>
      <c r="P267" s="77"/>
      <c r="Q267" s="40" t="str">
        <f>VLOOKUP(B267,辅助信息!E:M,9,FALSE)</f>
        <v>ZTWM-CDGS-XS-2024-0093-华西-颐海科创农业生态谷</v>
      </c>
      <c r="R267" s="26"/>
    </row>
    <row r="268" hidden="1" spans="2:18">
      <c r="B268" s="40" t="s">
        <v>48</v>
      </c>
      <c r="C268" s="70">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8"/>
      <c r="M268" s="77"/>
      <c r="N268" s="77"/>
      <c r="O268" s="77"/>
      <c r="P268" s="77"/>
      <c r="Q268" s="40" t="str">
        <f>VLOOKUP(B268,辅助信息!E:M,9,FALSE)</f>
        <v>ZTWM-CDGS-XS-2024-0093-华西-颐海科创农业生态谷</v>
      </c>
      <c r="R268" s="26"/>
    </row>
    <row r="269" hidden="1" spans="2:18">
      <c r="B269" s="40" t="s">
        <v>48</v>
      </c>
      <c r="C269" s="70">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6"/>
      <c r="M269" s="77"/>
      <c r="N269" s="77"/>
      <c r="O269" s="77"/>
      <c r="P269" s="77"/>
      <c r="Q269" s="40" t="str">
        <f>VLOOKUP(B269,辅助信息!E:M,9,FALSE)</f>
        <v>ZTWM-CDGS-XS-2024-0093-华西-颐海科创农业生态谷</v>
      </c>
      <c r="R269" s="26"/>
    </row>
    <row r="270" hidden="1" spans="2:18">
      <c r="B270" s="40" t="s">
        <v>71</v>
      </c>
      <c r="C270" s="70">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7" t="str">
        <f>VLOOKUP(B270,辅助信息!E:J,6,FALSE)</f>
        <v>送货单：送货单位：南充思临新材料科技有限公司,收货单位：五冶集团川北(南充)建设有限公司,项目名称：南充医学科学产业园,送货车型13米,装货前联系收货人核实到场规格</v>
      </c>
      <c r="M270" s="77"/>
      <c r="N270" s="77"/>
      <c r="O270" s="77"/>
      <c r="P270" s="77"/>
      <c r="Q270" s="40" t="str">
        <f>VLOOKUP(B270,辅助信息!E:M,9,FALSE)</f>
        <v>ZTWM-CDGS-XS-2024-0248-五冶钢构-南充市医学院项目</v>
      </c>
      <c r="R270" s="26"/>
    </row>
    <row r="271" hidden="1" spans="2:18">
      <c r="B271" s="40" t="s">
        <v>71</v>
      </c>
      <c r="C271" s="70">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8"/>
      <c r="M271" s="77"/>
      <c r="N271" s="77"/>
      <c r="O271" s="77"/>
      <c r="P271" s="77"/>
      <c r="Q271" s="40" t="str">
        <f>VLOOKUP(B271,辅助信息!E:M,9,FALSE)</f>
        <v>ZTWM-CDGS-XS-2024-0248-五冶钢构-南充市医学院项目</v>
      </c>
      <c r="R271" s="26"/>
    </row>
    <row r="272" hidden="1" spans="2:18">
      <c r="B272" s="40" t="s">
        <v>72</v>
      </c>
      <c r="C272" s="70">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8"/>
      <c r="M272" s="77"/>
      <c r="N272" s="77"/>
      <c r="O272" s="77"/>
      <c r="P272" s="77"/>
      <c r="Q272" s="40" t="str">
        <f>VLOOKUP(B272,辅助信息!E:M,9,FALSE)</f>
        <v>ZTWM-CDGS-XS-2024-0248-五冶钢构-南充市医学院项目</v>
      </c>
      <c r="R272" s="26"/>
    </row>
    <row r="273" hidden="1" spans="2:18">
      <c r="B273" s="40" t="s">
        <v>72</v>
      </c>
      <c r="C273" s="70">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6"/>
      <c r="M273" s="77"/>
      <c r="N273" s="77"/>
      <c r="O273" s="77"/>
      <c r="P273" s="77"/>
      <c r="Q273" s="40" t="str">
        <f>VLOOKUP(B273,辅助信息!E:M,9,FALSE)</f>
        <v>ZTWM-CDGS-XS-2024-0248-五冶钢构-南充市医学院项目</v>
      </c>
      <c r="R273" s="26"/>
    </row>
    <row r="274" hidden="1" spans="2:18">
      <c r="B274" s="40" t="s">
        <v>20</v>
      </c>
      <c r="C274" s="70">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7" t="str">
        <f>VLOOKUP(B274,辅助信息!E:J,6,FALSE)</f>
        <v>送货单：送货单位：南充思临新材料科技有限公司,收货单位：五冶集团川北(南充)建设有限公司,项目名称：南充医学科学产业园,送货车型13米,装货前联系收货人核实到场规格</v>
      </c>
      <c r="M274" s="77"/>
      <c r="N274" s="77"/>
      <c r="O274" s="77"/>
      <c r="P274" s="77"/>
      <c r="Q274" s="40" t="str">
        <f>VLOOKUP(B274,辅助信息!E:M,9,FALSE)</f>
        <v>ZTWM-CDGS-XS-2024-0248-五冶钢构-南充市医学院项目</v>
      </c>
      <c r="R274" s="26"/>
    </row>
    <row r="275" hidden="1" spans="2:18">
      <c r="B275" s="40" t="s">
        <v>20</v>
      </c>
      <c r="C275" s="70">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8"/>
      <c r="M275" s="77"/>
      <c r="N275" s="77"/>
      <c r="O275" s="77"/>
      <c r="P275" s="77"/>
      <c r="Q275" s="40" t="str">
        <f>VLOOKUP(B275,辅助信息!E:M,9,FALSE)</f>
        <v>ZTWM-CDGS-XS-2024-0248-五冶钢构-南充市医学院项目</v>
      </c>
      <c r="R275" s="26"/>
    </row>
    <row r="276" hidden="1" spans="2:18">
      <c r="B276" s="40" t="s">
        <v>20</v>
      </c>
      <c r="C276" s="70">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8"/>
      <c r="M276" s="77"/>
      <c r="N276" s="77"/>
      <c r="O276" s="77"/>
      <c r="P276" s="77"/>
      <c r="Q276" s="40" t="str">
        <f>VLOOKUP(B276,辅助信息!E:M,9,FALSE)</f>
        <v>ZTWM-CDGS-XS-2024-0248-五冶钢构-南充市医学院项目</v>
      </c>
      <c r="R276" s="26"/>
    </row>
    <row r="277" hidden="1" spans="2:18">
      <c r="B277" s="40" t="s">
        <v>20</v>
      </c>
      <c r="C277" s="70">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6"/>
      <c r="M277" s="77"/>
      <c r="N277" s="77"/>
      <c r="O277" s="77"/>
      <c r="P277" s="77"/>
      <c r="Q277" s="40" t="str">
        <f>VLOOKUP(B277,辅助信息!E:M,9,FALSE)</f>
        <v>ZTWM-CDGS-XS-2024-0248-五冶钢构-南充市医学院项目</v>
      </c>
      <c r="R277" s="26"/>
    </row>
    <row r="278" hidden="1" spans="2:18">
      <c r="B278" s="40" t="s">
        <v>20</v>
      </c>
      <c r="C278" s="70">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7" t="str">
        <f>VLOOKUP(B278,辅助信息!E:J,6,FALSE)</f>
        <v>送货单：送货单位：南充思临新材料科技有限公司,收货单位：五冶集团川北(南充)建设有限公司,项目名称：南充医学科学产业园,送货车型13米,装货前联系收货人核实到场规格</v>
      </c>
      <c r="M278" s="77"/>
      <c r="N278" s="77"/>
      <c r="O278" s="77"/>
      <c r="P278" s="77"/>
      <c r="Q278" s="40" t="str">
        <f>VLOOKUP(B278,辅助信息!E:M,9,FALSE)</f>
        <v>ZTWM-CDGS-XS-2024-0248-五冶钢构-南充市医学院项目</v>
      </c>
      <c r="R278" s="26"/>
    </row>
    <row r="279" hidden="1" spans="2:18">
      <c r="B279" s="40" t="s">
        <v>23</v>
      </c>
      <c r="C279" s="70">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8"/>
      <c r="M279" s="77"/>
      <c r="N279" s="77"/>
      <c r="O279" s="77"/>
      <c r="P279" s="77"/>
      <c r="Q279" s="40" t="str">
        <f>VLOOKUP(B279,辅助信息!E:M,9,FALSE)</f>
        <v>ZTWM-CDGS-XS-2024-0248-五冶钢构-南充市医学院项目</v>
      </c>
      <c r="R279" s="26"/>
    </row>
    <row r="280" hidden="1" spans="2:18">
      <c r="B280" s="40" t="s">
        <v>23</v>
      </c>
      <c r="C280" s="70">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8"/>
      <c r="M280" s="77"/>
      <c r="N280" s="77"/>
      <c r="O280" s="77"/>
      <c r="P280" s="77"/>
      <c r="Q280" s="40" t="str">
        <f>VLOOKUP(B280,辅助信息!E:M,9,FALSE)</f>
        <v>ZTWM-CDGS-XS-2024-0248-五冶钢构-南充市医学院项目</v>
      </c>
      <c r="R280" s="26"/>
    </row>
    <row r="281" hidden="1" spans="2:18">
      <c r="B281" s="40" t="s">
        <v>23</v>
      </c>
      <c r="C281" s="70">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8"/>
      <c r="M281" s="77"/>
      <c r="N281" s="77"/>
      <c r="O281" s="77"/>
      <c r="P281" s="77"/>
      <c r="Q281" s="40" t="str">
        <f>VLOOKUP(B281,辅助信息!E:M,9,FALSE)</f>
        <v>ZTWM-CDGS-XS-2024-0248-五冶钢构-南充市医学院项目</v>
      </c>
      <c r="R281" s="26"/>
    </row>
    <row r="282" hidden="1" spans="2:18">
      <c r="B282" s="40" t="s">
        <v>23</v>
      </c>
      <c r="C282" s="70">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8"/>
      <c r="M282" s="77"/>
      <c r="N282" s="77"/>
      <c r="O282" s="77"/>
      <c r="P282" s="77"/>
      <c r="Q282" s="40" t="str">
        <f>VLOOKUP(B282,辅助信息!E:M,9,FALSE)</f>
        <v>ZTWM-CDGS-XS-2024-0248-五冶钢构-南充市医学院项目</v>
      </c>
      <c r="R282" s="26"/>
    </row>
    <row r="283" hidden="1" spans="2:18">
      <c r="B283" s="40" t="s">
        <v>23</v>
      </c>
      <c r="C283" s="70">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6"/>
      <c r="M283" s="77"/>
      <c r="N283" s="77"/>
      <c r="O283" s="77"/>
      <c r="P283" s="77"/>
      <c r="Q283" s="40" t="str">
        <f>VLOOKUP(B283,辅助信息!E:M,9,FALSE)</f>
        <v>ZTWM-CDGS-XS-2024-0248-五冶钢构-南充市医学院项目</v>
      </c>
      <c r="R283" s="26"/>
    </row>
    <row r="284" hidden="1" spans="2:18">
      <c r="B284" s="40" t="s">
        <v>73</v>
      </c>
      <c r="C284" s="70">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7" t="str">
        <f>VLOOKUP(B284,辅助信息!E:J,6,FALSE)</f>
        <v>送货单：送货单位：南充思临新材料科技有限公司,收货单位：五冶集团川北(南充)建设有限公司,项目名称：南充医学科学产业园,送货车型13米,装货前联系收货人核实到场规格</v>
      </c>
      <c r="M284" s="89"/>
      <c r="N284" s="89"/>
      <c r="O284" s="89"/>
      <c r="P284" s="89"/>
      <c r="Q284" s="40" t="str">
        <f>VLOOKUP(B284,辅助信息!E:M,9,FALSE)</f>
        <v>ZTWM-CDGS-XS-2024-0248-五冶钢构-南充市医学院项目</v>
      </c>
      <c r="R284" s="26"/>
    </row>
    <row r="285" hidden="1" spans="2:18">
      <c r="B285" s="40" t="s">
        <v>73</v>
      </c>
      <c r="C285" s="70">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6"/>
      <c r="M285" s="75"/>
      <c r="N285" s="75"/>
      <c r="O285" s="75"/>
      <c r="P285" s="75"/>
      <c r="Q285" s="40" t="str">
        <f>VLOOKUP(B285,辅助信息!E:M,9,FALSE)</f>
        <v>ZTWM-CDGS-XS-2024-0248-五冶钢构-南充市医学院项目</v>
      </c>
      <c r="R285" s="26"/>
    </row>
    <row r="286" hidden="1" spans="2:18">
      <c r="B286" s="40" t="s">
        <v>73</v>
      </c>
      <c r="C286" s="70">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7"/>
      <c r="M286" s="77"/>
      <c r="N286" s="77"/>
      <c r="O286" s="77"/>
      <c r="P286" s="77"/>
      <c r="Q286" s="40" t="str">
        <f>VLOOKUP(B286,辅助信息!E:M,9,FALSE)</f>
        <v>ZTWM-CDGS-XS-2024-0248-五冶钢构-南充市医学院项目</v>
      </c>
      <c r="R286" s="26"/>
    </row>
    <row r="287" hidden="1" spans="2:18">
      <c r="B287" s="40" t="s">
        <v>73</v>
      </c>
      <c r="C287" s="70">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6"/>
      <c r="M287" s="77"/>
      <c r="N287" s="77"/>
      <c r="O287" s="77"/>
      <c r="P287" s="77"/>
      <c r="Q287" s="40" t="str">
        <f>VLOOKUP(B287,辅助信息!E:M,9,FALSE)</f>
        <v>ZTWM-CDGS-XS-2024-0248-五冶钢构-南充市医学院项目</v>
      </c>
      <c r="R287" s="26"/>
    </row>
    <row r="288" hidden="1" spans="2:18">
      <c r="B288" s="40" t="s">
        <v>54</v>
      </c>
      <c r="C288" s="70">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7" t="e">
        <f>VLOOKUP(B288,辅助信息!E:J,6,FALSE)</f>
        <v>#N/A</v>
      </c>
      <c r="M288" s="77"/>
      <c r="N288" s="77"/>
      <c r="O288" s="77"/>
      <c r="P288" s="77"/>
      <c r="Q288" s="40" t="e">
        <f>VLOOKUP(B288,辅助信息!E:M,9,FALSE)</f>
        <v>#N/A</v>
      </c>
      <c r="R288" s="26"/>
    </row>
    <row r="289" hidden="1" spans="2:18">
      <c r="B289" s="40" t="s">
        <v>54</v>
      </c>
      <c r="C289" s="70">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6"/>
      <c r="M289" s="77"/>
      <c r="N289" s="77"/>
      <c r="O289" s="77"/>
      <c r="P289" s="77"/>
      <c r="Q289" s="40" t="e">
        <f>VLOOKUP(B289,辅助信息!E:M,9,FALSE)</f>
        <v>#N/A</v>
      </c>
      <c r="R289" s="26"/>
    </row>
    <row r="290" hidden="1" spans="2:18">
      <c r="B290" s="40" t="s">
        <v>64</v>
      </c>
      <c r="C290" s="70">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7" t="e">
        <f>VLOOKUP(B290,辅助信息!E:J,6,FALSE)</f>
        <v>#N/A</v>
      </c>
      <c r="M290" s="77"/>
      <c r="N290" s="77"/>
      <c r="O290" s="77"/>
      <c r="P290" s="77"/>
      <c r="Q290" s="40" t="e">
        <f>VLOOKUP(B290,辅助信息!E:M,9,FALSE)</f>
        <v>#N/A</v>
      </c>
      <c r="R290" s="26"/>
    </row>
    <row r="291" hidden="1" spans="2:18">
      <c r="B291" s="40" t="s">
        <v>64</v>
      </c>
      <c r="C291" s="70">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8"/>
      <c r="M291" s="77"/>
      <c r="N291" s="77"/>
      <c r="O291" s="77"/>
      <c r="P291" s="77"/>
      <c r="Q291" s="40" t="e">
        <f>VLOOKUP(B291,辅助信息!E:M,9,FALSE)</f>
        <v>#N/A</v>
      </c>
      <c r="R291" s="26"/>
    </row>
    <row r="292" hidden="1" spans="2:18">
      <c r="B292" s="40" t="s">
        <v>64</v>
      </c>
      <c r="C292" s="70">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8"/>
      <c r="M292" s="77"/>
      <c r="N292" s="77"/>
      <c r="O292" s="77"/>
      <c r="P292" s="77"/>
      <c r="Q292" s="40" t="e">
        <f>VLOOKUP(B292,辅助信息!E:M,9,FALSE)</f>
        <v>#N/A</v>
      </c>
      <c r="R292" s="26"/>
    </row>
    <row r="293" hidden="1" spans="2:18">
      <c r="B293" s="40" t="s">
        <v>64</v>
      </c>
      <c r="C293" s="70">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8"/>
      <c r="M293" s="77"/>
      <c r="N293" s="77"/>
      <c r="O293" s="77"/>
      <c r="P293" s="77"/>
      <c r="Q293" s="40" t="e">
        <f>VLOOKUP(B293,辅助信息!E:M,9,FALSE)</f>
        <v>#N/A</v>
      </c>
      <c r="R293" s="26"/>
    </row>
    <row r="294" hidden="1" spans="2:18">
      <c r="B294" s="40" t="s">
        <v>64</v>
      </c>
      <c r="C294" s="70">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6"/>
      <c r="M294" s="77"/>
      <c r="N294" s="77"/>
      <c r="O294" s="77"/>
      <c r="P294" s="77"/>
      <c r="Q294" s="40" t="e">
        <f>VLOOKUP(B294,辅助信息!E:M,9,FALSE)</f>
        <v>#N/A</v>
      </c>
      <c r="R294" s="26"/>
    </row>
    <row r="295" hidden="1" spans="2:18">
      <c r="B295" s="40" t="s">
        <v>74</v>
      </c>
      <c r="C295" s="70">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7" t="e">
        <f>VLOOKUP(B295,辅助信息!E:J,6,FALSE)</f>
        <v>#N/A</v>
      </c>
      <c r="M295" s="89"/>
      <c r="N295" s="89"/>
      <c r="O295" s="89"/>
      <c r="P295" s="89"/>
      <c r="Q295" s="40" t="e">
        <f>VLOOKUP(B295,辅助信息!E:M,9,FALSE)</f>
        <v>#N/A</v>
      </c>
      <c r="R295" s="26"/>
    </row>
    <row r="296" hidden="1" spans="2:18">
      <c r="B296" s="40" t="s">
        <v>74</v>
      </c>
      <c r="C296" s="70">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8"/>
      <c r="M296" s="90"/>
      <c r="N296" s="90"/>
      <c r="O296" s="90"/>
      <c r="P296" s="90"/>
      <c r="Q296" s="40" t="e">
        <f>VLOOKUP(B296,辅助信息!E:M,9,FALSE)</f>
        <v>#N/A</v>
      </c>
      <c r="R296" s="26"/>
    </row>
    <row r="297" hidden="1" spans="2:18">
      <c r="B297" s="40" t="s">
        <v>74</v>
      </c>
      <c r="C297" s="70">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8"/>
      <c r="M297" s="90"/>
      <c r="N297" s="90"/>
      <c r="O297" s="90"/>
      <c r="P297" s="90"/>
      <c r="Q297" s="40" t="e">
        <f>VLOOKUP(B297,辅助信息!E:M,9,FALSE)</f>
        <v>#N/A</v>
      </c>
      <c r="R297" s="26"/>
    </row>
    <row r="298" hidden="1" spans="2:18">
      <c r="B298" s="40" t="s">
        <v>74</v>
      </c>
      <c r="C298" s="70">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6"/>
      <c r="M298" s="75"/>
      <c r="N298" s="75"/>
      <c r="O298" s="75"/>
      <c r="P298" s="75"/>
      <c r="Q298" s="40" t="e">
        <f>VLOOKUP(B298,辅助信息!E:M,9,FALSE)</f>
        <v>#N/A</v>
      </c>
      <c r="R298" s="26"/>
    </row>
    <row r="299" hidden="1" spans="2:18">
      <c r="B299" s="40" t="s">
        <v>75</v>
      </c>
      <c r="C299" s="70">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7" t="e">
        <f>VLOOKUP(B299,辅助信息!E:J,6,FALSE)</f>
        <v>#N/A</v>
      </c>
      <c r="M299" s="77"/>
      <c r="N299" s="77"/>
      <c r="O299" s="77"/>
      <c r="P299" s="77"/>
      <c r="Q299" s="40" t="e">
        <f>VLOOKUP(B299,辅助信息!E:M,9,FALSE)</f>
        <v>#N/A</v>
      </c>
      <c r="R299" s="26"/>
    </row>
    <row r="300" hidden="1" spans="2:18">
      <c r="B300" s="40" t="s">
        <v>75</v>
      </c>
      <c r="C300" s="70">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8"/>
      <c r="M300" s="77"/>
      <c r="N300" s="77"/>
      <c r="O300" s="77"/>
      <c r="P300" s="77"/>
      <c r="Q300" s="40" t="e">
        <f>VLOOKUP(B300,辅助信息!E:M,9,FALSE)</f>
        <v>#N/A</v>
      </c>
      <c r="R300" s="26"/>
    </row>
    <row r="301" hidden="1" spans="2:18">
      <c r="B301" s="40" t="s">
        <v>75</v>
      </c>
      <c r="C301" s="70">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6"/>
      <c r="M301" s="77"/>
      <c r="N301" s="77"/>
      <c r="O301" s="77"/>
      <c r="P301" s="77"/>
      <c r="Q301" s="40" t="e">
        <f>VLOOKUP(B301,辅助信息!E:M,9,FALSE)</f>
        <v>#N/A</v>
      </c>
      <c r="R301" s="26"/>
    </row>
    <row r="302" ht="45" hidden="1" customHeight="1" spans="2:18">
      <c r="B302" s="40" t="s">
        <v>64</v>
      </c>
      <c r="C302" s="70">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7" t="e">
        <f>VLOOKUP(B302,辅助信息!E:J,6,FALSE)</f>
        <v>#N/A</v>
      </c>
      <c r="M302" s="57"/>
      <c r="N302" s="57"/>
      <c r="O302" s="57"/>
      <c r="P302" s="57"/>
      <c r="Q302" s="26" t="e">
        <f>VLOOKUP(B302,辅助信息!E:M,9,FALSE)</f>
        <v>#N/A</v>
      </c>
      <c r="R302" s="26"/>
    </row>
    <row r="303" ht="45" hidden="1" customHeight="1" spans="2:18">
      <c r="B303" s="40" t="s">
        <v>74</v>
      </c>
      <c r="C303" s="70">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7" t="e">
        <f>VLOOKUP(B303,辅助信息!E:J,6,FALSE)</f>
        <v>#N/A</v>
      </c>
      <c r="M303" s="57"/>
      <c r="N303" s="57"/>
      <c r="O303" s="57"/>
      <c r="P303" s="57"/>
      <c r="Q303" s="26" t="e">
        <f>VLOOKUP(B303,辅助信息!E:M,9,FALSE)</f>
        <v>#N/A</v>
      </c>
      <c r="R303" s="26"/>
    </row>
    <row r="304" hidden="1" spans="2:18">
      <c r="B304" s="40" t="s">
        <v>75</v>
      </c>
      <c r="C304" s="70">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7" t="e">
        <f>VLOOKUP(B304,辅助信息!E:J,6,FALSE)</f>
        <v>#N/A</v>
      </c>
      <c r="M304" s="57"/>
      <c r="N304" s="57"/>
      <c r="O304" s="57"/>
      <c r="P304" s="57"/>
      <c r="Q304" s="26" t="e">
        <f>VLOOKUP(B304,辅助信息!E:M,9,FALSE)</f>
        <v>#N/A</v>
      </c>
      <c r="R304" s="26"/>
    </row>
    <row r="305" hidden="1" spans="2:18">
      <c r="B305" s="40" t="s">
        <v>75</v>
      </c>
      <c r="C305" s="70">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8"/>
      <c r="M305" s="57"/>
      <c r="N305" s="57"/>
      <c r="O305" s="57"/>
      <c r="P305" s="57"/>
      <c r="Q305" s="26" t="e">
        <f>VLOOKUP(B305,辅助信息!E:M,9,FALSE)</f>
        <v>#N/A</v>
      </c>
      <c r="R305" s="26"/>
    </row>
    <row r="306" hidden="1" spans="2:18">
      <c r="B306" s="40" t="s">
        <v>75</v>
      </c>
      <c r="C306" s="70">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6"/>
      <c r="M306" s="57"/>
      <c r="N306" s="57"/>
      <c r="O306" s="57"/>
      <c r="P306" s="57"/>
      <c r="Q306" s="26" t="e">
        <f>VLOOKUP(B306,辅助信息!E:M,9,FALSE)</f>
        <v>#N/A</v>
      </c>
      <c r="R306" s="26"/>
    </row>
    <row r="307" hidden="1" spans="2:18">
      <c r="B307" s="40" t="s">
        <v>78</v>
      </c>
      <c r="C307" s="70">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7" t="e">
        <f>VLOOKUP(B307,辅助信息!E:J,6,FALSE)</f>
        <v>#N/A</v>
      </c>
      <c r="M307" s="57"/>
      <c r="N307" s="57"/>
      <c r="O307" s="57"/>
      <c r="P307" s="57"/>
      <c r="Q307" s="26" t="e">
        <f>VLOOKUP(B307,辅助信息!E:M,9,FALSE)</f>
        <v>#N/A</v>
      </c>
      <c r="R307" s="26"/>
    </row>
    <row r="308" hidden="1" spans="2:18">
      <c r="B308" s="40" t="s">
        <v>78</v>
      </c>
      <c r="C308" s="70">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8"/>
      <c r="M308" s="57"/>
      <c r="N308" s="57"/>
      <c r="O308" s="57"/>
      <c r="P308" s="57"/>
      <c r="Q308" s="26" t="e">
        <f>VLOOKUP(B308,辅助信息!E:M,9,FALSE)</f>
        <v>#N/A</v>
      </c>
      <c r="R308" s="26"/>
    </row>
    <row r="309" hidden="1" spans="2:18">
      <c r="B309" s="40" t="s">
        <v>78</v>
      </c>
      <c r="C309" s="70">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6"/>
      <c r="M309" s="57"/>
      <c r="N309" s="57"/>
      <c r="O309" s="57"/>
      <c r="P309" s="57"/>
      <c r="Q309" s="26" t="e">
        <f>VLOOKUP(B309,辅助信息!E:M,9,FALSE)</f>
        <v>#N/A</v>
      </c>
      <c r="R309" s="26"/>
    </row>
    <row r="310" hidden="1" spans="2:18">
      <c r="B310" s="40" t="s">
        <v>79</v>
      </c>
      <c r="C310" s="70">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79" t="e">
        <f>VLOOKUP(J310,辅助信息!H:I,2,FALSE)</f>
        <v>#N/A</v>
      </c>
      <c r="L310" s="77" t="e">
        <f>VLOOKUP(B310,辅助信息!E:J,6,FALSE)</f>
        <v>#N/A</v>
      </c>
      <c r="M310" s="57"/>
      <c r="N310" s="57"/>
      <c r="O310" s="57"/>
      <c r="P310" s="57"/>
      <c r="Q310" s="26" t="e">
        <f>VLOOKUP(B310,辅助信息!E:M,9,FALSE)</f>
        <v>#N/A</v>
      </c>
      <c r="R310" s="26"/>
    </row>
    <row r="311" hidden="1" spans="2:18">
      <c r="B311" s="40" t="s">
        <v>79</v>
      </c>
      <c r="C311" s="70">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79" t="e">
        <f>VLOOKUP(J311,辅助信息!H:I,2,FALSE)</f>
        <v>#N/A</v>
      </c>
      <c r="L311" s="78"/>
      <c r="M311" s="57"/>
      <c r="N311" s="57"/>
      <c r="O311" s="57"/>
      <c r="P311" s="57"/>
      <c r="Q311" s="26" t="e">
        <f>VLOOKUP(B311,辅助信息!E:M,9,FALSE)</f>
        <v>#N/A</v>
      </c>
      <c r="R311" s="26"/>
    </row>
    <row r="312" hidden="1" spans="2:18">
      <c r="B312" s="40" t="s">
        <v>79</v>
      </c>
      <c r="C312" s="70">
        <v>45699</v>
      </c>
      <c r="D312" s="40" t="e">
        <f>VLOOKUP(B312,辅助信息!E:K,7,FALSE)</f>
        <v>#N/A</v>
      </c>
      <c r="E312" s="40" t="str">
        <f>VLOOKUP(F312,辅助信息!A:B,2,FALSE)</f>
        <v>螺纹钢</v>
      </c>
      <c r="F312" s="40" t="s">
        <v>27</v>
      </c>
      <c r="G312" s="87">
        <v>9</v>
      </c>
      <c r="H312" s="36" t="e">
        <f>_xlfn._xlws.FILTER(#REF!,#REF!&amp;#REF!&amp;#REF!&amp;#REF!=C312&amp;F312&amp;I312&amp;J312,"未发货")</f>
        <v>#REF!</v>
      </c>
      <c r="I312" s="40" t="e">
        <f>VLOOKUP(B312,辅助信息!E:I,3,FALSE)</f>
        <v>#N/A</v>
      </c>
      <c r="J312" s="40" t="e">
        <f>VLOOKUP(B312,辅助信息!E:I,4,FALSE)</f>
        <v>#N/A</v>
      </c>
      <c r="K312" s="79" t="e">
        <f>VLOOKUP(J312,辅助信息!H:I,2,FALSE)</f>
        <v>#N/A</v>
      </c>
      <c r="L312" s="78"/>
      <c r="M312" s="57"/>
      <c r="N312" s="57"/>
      <c r="O312" s="57"/>
      <c r="P312" s="57"/>
      <c r="Q312" s="26" t="e">
        <f>VLOOKUP(B312,辅助信息!E:M,9,FALSE)</f>
        <v>#N/A</v>
      </c>
      <c r="R312" s="26"/>
    </row>
    <row r="313" hidden="1" spans="2:18">
      <c r="B313" s="40" t="s">
        <v>79</v>
      </c>
      <c r="C313" s="70">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79" t="e">
        <f>VLOOKUP(J313,辅助信息!H:I,2,FALSE)</f>
        <v>#N/A</v>
      </c>
      <c r="L313" s="78"/>
      <c r="M313" s="57"/>
      <c r="N313" s="57"/>
      <c r="O313" s="57"/>
      <c r="P313" s="57"/>
      <c r="Q313" s="26" t="e">
        <f>VLOOKUP(B313,辅助信息!E:M,9,FALSE)</f>
        <v>#N/A</v>
      </c>
      <c r="R313" s="26"/>
    </row>
    <row r="314" hidden="1" spans="2:18">
      <c r="B314" s="40" t="s">
        <v>79</v>
      </c>
      <c r="C314" s="70">
        <v>45699</v>
      </c>
      <c r="D314" s="40" t="e">
        <f>VLOOKUP(B314,辅助信息!E:K,7,FALSE)</f>
        <v>#N/A</v>
      </c>
      <c r="E314" s="40" t="str">
        <f>VLOOKUP(F314,辅助信息!A:B,2,FALSE)</f>
        <v>螺纹钢</v>
      </c>
      <c r="F314" s="40" t="s">
        <v>32</v>
      </c>
      <c r="G314" s="87">
        <v>9</v>
      </c>
      <c r="H314" s="36" t="e">
        <f>_xlfn._xlws.FILTER(#REF!,#REF!&amp;#REF!&amp;#REF!&amp;#REF!=C314&amp;F314&amp;I314&amp;J314,"未发货")</f>
        <v>#REF!</v>
      </c>
      <c r="I314" s="40" t="e">
        <f>VLOOKUP(B314,辅助信息!E:I,3,FALSE)</f>
        <v>#N/A</v>
      </c>
      <c r="J314" s="40" t="e">
        <f>VLOOKUP(B314,辅助信息!E:I,4,FALSE)</f>
        <v>#N/A</v>
      </c>
      <c r="K314" s="79" t="e">
        <f>VLOOKUP(J314,辅助信息!H:I,2,FALSE)</f>
        <v>#N/A</v>
      </c>
      <c r="L314" s="78"/>
      <c r="M314" s="57"/>
      <c r="N314" s="57"/>
      <c r="O314" s="57"/>
      <c r="P314" s="57"/>
      <c r="Q314" s="26" t="e">
        <f>VLOOKUP(B314,辅助信息!E:M,9,FALSE)</f>
        <v>#N/A</v>
      </c>
      <c r="R314" s="26"/>
    </row>
    <row r="315" hidden="1" spans="2:18">
      <c r="B315" s="40" t="s">
        <v>79</v>
      </c>
      <c r="C315" s="70">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79" t="e">
        <f>VLOOKUP(J315,辅助信息!H:I,2,FALSE)</f>
        <v>#N/A</v>
      </c>
      <c r="L315" s="78"/>
      <c r="M315" s="57"/>
      <c r="N315" s="57"/>
      <c r="O315" s="57"/>
      <c r="P315" s="57"/>
      <c r="Q315" s="26" t="e">
        <f>VLOOKUP(B315,辅助信息!E:M,9,FALSE)</f>
        <v>#N/A</v>
      </c>
      <c r="R315" s="26"/>
    </row>
    <row r="316" hidden="1" spans="2:18">
      <c r="B316" s="40" t="s">
        <v>79</v>
      </c>
      <c r="C316" s="70">
        <v>45699</v>
      </c>
      <c r="D316" s="40" t="e">
        <f>VLOOKUP(B316,辅助信息!E:K,7,FALSE)</f>
        <v>#N/A</v>
      </c>
      <c r="E316" s="40" t="str">
        <f>VLOOKUP(F316,辅助信息!A:B,2,FALSE)</f>
        <v>螺纹钢</v>
      </c>
      <c r="F316" s="40" t="s">
        <v>33</v>
      </c>
      <c r="G316" s="87">
        <v>25</v>
      </c>
      <c r="H316" s="36" t="e">
        <f>_xlfn._xlws.FILTER(#REF!,#REF!&amp;#REF!&amp;#REF!&amp;#REF!=C316&amp;F316&amp;I316&amp;J316,"未发货")</f>
        <v>#REF!</v>
      </c>
      <c r="I316" s="40" t="e">
        <f>VLOOKUP(B316,辅助信息!E:I,3,FALSE)</f>
        <v>#N/A</v>
      </c>
      <c r="J316" s="40" t="e">
        <f>VLOOKUP(B316,辅助信息!E:I,4,FALSE)</f>
        <v>#N/A</v>
      </c>
      <c r="K316" s="79" t="e">
        <f>VLOOKUP(J316,辅助信息!H:I,2,FALSE)</f>
        <v>#N/A</v>
      </c>
      <c r="L316" s="78"/>
      <c r="M316" s="57"/>
      <c r="N316" s="57"/>
      <c r="O316" s="57"/>
      <c r="P316" s="57"/>
      <c r="Q316" s="26" t="e">
        <f>VLOOKUP(B316,辅助信息!E:M,9,FALSE)</f>
        <v>#N/A</v>
      </c>
      <c r="R316" s="26"/>
    </row>
    <row r="317" hidden="1" spans="2:18">
      <c r="B317" s="40" t="s">
        <v>79</v>
      </c>
      <c r="C317" s="70">
        <v>45699</v>
      </c>
      <c r="D317" s="40" t="e">
        <f>VLOOKUP(B317,辅助信息!E:K,7,FALSE)</f>
        <v>#N/A</v>
      </c>
      <c r="E317" s="40" t="str">
        <f>VLOOKUP(F317,辅助信息!A:B,2,FALSE)</f>
        <v>螺纹钢</v>
      </c>
      <c r="F317" s="40" t="s">
        <v>18</v>
      </c>
      <c r="G317" s="87">
        <v>90</v>
      </c>
      <c r="H317" s="36" t="e">
        <f>_xlfn._xlws.FILTER(#REF!,#REF!&amp;#REF!&amp;#REF!&amp;#REF!=C317&amp;F317&amp;I317&amp;J317,"未发货")</f>
        <v>#REF!</v>
      </c>
      <c r="I317" s="40" t="e">
        <f>VLOOKUP(B317,辅助信息!E:I,3,FALSE)</f>
        <v>#N/A</v>
      </c>
      <c r="J317" s="40" t="e">
        <f>VLOOKUP(B317,辅助信息!E:I,4,FALSE)</f>
        <v>#N/A</v>
      </c>
      <c r="K317" s="79" t="e">
        <f>VLOOKUP(J317,辅助信息!H:I,2,FALSE)</f>
        <v>#N/A</v>
      </c>
      <c r="L317" s="76"/>
      <c r="M317" s="57"/>
      <c r="N317" s="57"/>
      <c r="O317" s="57"/>
      <c r="P317" s="57"/>
      <c r="Q317" s="26" t="e">
        <f>VLOOKUP(B317,辅助信息!E:M,9,FALSE)</f>
        <v>#N/A</v>
      </c>
      <c r="R317" s="26"/>
    </row>
    <row r="318" hidden="1" spans="2:18">
      <c r="B318" s="40" t="s">
        <v>80</v>
      </c>
      <c r="C318" s="70">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79" t="e">
        <f>VLOOKUP(J318,辅助信息!H:I,2,FALSE)</f>
        <v>#N/A</v>
      </c>
      <c r="L318" s="77" t="e">
        <f>VLOOKUP(B318,辅助信息!E:J,6,FALSE)</f>
        <v>#N/A</v>
      </c>
      <c r="M318" s="91">
        <v>45703</v>
      </c>
      <c r="N318" s="91"/>
      <c r="O318" s="62">
        <f ca="1" t="shared" ref="O318:O381" si="0">IF(OR(M318="",N318&lt;&gt;""),"",MAX(M318-TODAY(),0))</f>
        <v>0</v>
      </c>
      <c r="P318" s="62">
        <f ca="1" t="shared" ref="P318:P381" si="1">IF(M318="","",IF(N318&lt;&gt;"",MAX(N318-M318,0),IF(TODAY()&gt;M318,TODAY()-M318,0)))</f>
        <v>257</v>
      </c>
      <c r="Q318" s="26" t="e">
        <f>VLOOKUP(B318,辅助信息!E:M,9,FALSE)</f>
        <v>#N/A</v>
      </c>
      <c r="R318" s="26"/>
    </row>
    <row r="319" s="26" customFormat="1" hidden="1" spans="2:17">
      <c r="B319" s="40" t="s">
        <v>80</v>
      </c>
      <c r="C319" s="70">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79" t="e">
        <f>VLOOKUP(J319,辅助信息!H:I,2,FALSE)</f>
        <v>#N/A</v>
      </c>
      <c r="L319" s="78"/>
      <c r="M319" s="91">
        <v>45703</v>
      </c>
      <c r="N319" s="91"/>
      <c r="O319" s="62">
        <f ca="1" t="shared" si="0"/>
        <v>0</v>
      </c>
      <c r="P319" s="62">
        <f ca="1" t="shared" si="1"/>
        <v>257</v>
      </c>
      <c r="Q319" s="26" t="e">
        <f>VLOOKUP(B319,辅助信息!E:M,9,FALSE)</f>
        <v>#N/A</v>
      </c>
    </row>
    <row r="320" s="26" customFormat="1" hidden="1" spans="2:17">
      <c r="B320" s="40" t="s">
        <v>80</v>
      </c>
      <c r="C320" s="70">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79" t="e">
        <f>VLOOKUP(J320,辅助信息!H:I,2,FALSE)</f>
        <v>#N/A</v>
      </c>
      <c r="L320" s="78"/>
      <c r="M320" s="91">
        <v>45703</v>
      </c>
      <c r="N320" s="91"/>
      <c r="O320" s="62">
        <f ca="1" t="shared" si="0"/>
        <v>0</v>
      </c>
      <c r="P320" s="62">
        <f ca="1" t="shared" si="1"/>
        <v>257</v>
      </c>
      <c r="Q320" s="26" t="e">
        <f>VLOOKUP(B320,辅助信息!E:M,9,FALSE)</f>
        <v>#N/A</v>
      </c>
    </row>
    <row r="321" s="26" customFormat="1" hidden="1" spans="2:17">
      <c r="B321" s="40" t="s">
        <v>80</v>
      </c>
      <c r="C321" s="70">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79" t="e">
        <f>VLOOKUP(J321,辅助信息!H:I,2,FALSE)</f>
        <v>#N/A</v>
      </c>
      <c r="L321" s="78"/>
      <c r="M321" s="91">
        <v>45703</v>
      </c>
      <c r="N321" s="91"/>
      <c r="O321" s="62">
        <f ca="1" t="shared" si="0"/>
        <v>0</v>
      </c>
      <c r="P321" s="62">
        <f ca="1" t="shared" si="1"/>
        <v>257</v>
      </c>
      <c r="Q321" s="26" t="e">
        <f>VLOOKUP(B321,辅助信息!E:M,9,FALSE)</f>
        <v>#N/A</v>
      </c>
    </row>
    <row r="322" s="26" customFormat="1" hidden="1" spans="2:17">
      <c r="B322" s="40" t="s">
        <v>80</v>
      </c>
      <c r="C322" s="70">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79" t="e">
        <f>VLOOKUP(J322,辅助信息!H:I,2,FALSE)</f>
        <v>#N/A</v>
      </c>
      <c r="L322" s="78"/>
      <c r="M322" s="91">
        <v>45703</v>
      </c>
      <c r="N322" s="91"/>
      <c r="O322" s="62">
        <f ca="1" t="shared" si="0"/>
        <v>0</v>
      </c>
      <c r="P322" s="62">
        <f ca="1" t="shared" si="1"/>
        <v>257</v>
      </c>
      <c r="Q322" s="26" t="e">
        <f>VLOOKUP(B322,辅助信息!E:M,9,FALSE)</f>
        <v>#N/A</v>
      </c>
    </row>
    <row r="323" s="26" customFormat="1" hidden="1" spans="2:17">
      <c r="B323" s="40" t="s">
        <v>80</v>
      </c>
      <c r="C323" s="70">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79" t="e">
        <f>VLOOKUP(J323,辅助信息!H:I,2,FALSE)</f>
        <v>#N/A</v>
      </c>
      <c r="L323" s="78"/>
      <c r="M323" s="91">
        <v>45703</v>
      </c>
      <c r="N323" s="91"/>
      <c r="O323" s="62">
        <f ca="1" t="shared" si="0"/>
        <v>0</v>
      </c>
      <c r="P323" s="62">
        <f ca="1" t="shared" si="1"/>
        <v>257</v>
      </c>
      <c r="Q323" s="26" t="e">
        <f>VLOOKUP(B323,辅助信息!E:M,9,FALSE)</f>
        <v>#N/A</v>
      </c>
    </row>
    <row r="324" s="26" customFormat="1" hidden="1" spans="2:17">
      <c r="B324" s="40" t="s">
        <v>80</v>
      </c>
      <c r="C324" s="70">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79" t="e">
        <f>VLOOKUP(J324,辅助信息!H:I,2,FALSE)</f>
        <v>#N/A</v>
      </c>
      <c r="L324" s="78"/>
      <c r="M324" s="91">
        <v>45703</v>
      </c>
      <c r="N324" s="91"/>
      <c r="O324" s="62">
        <f ca="1" t="shared" si="0"/>
        <v>0</v>
      </c>
      <c r="P324" s="62">
        <f ca="1" t="shared" si="1"/>
        <v>257</v>
      </c>
      <c r="Q324" s="26" t="e">
        <f>VLOOKUP(B324,辅助信息!E:M,9,FALSE)</f>
        <v>#N/A</v>
      </c>
    </row>
    <row r="325" s="26" customFormat="1" hidden="1" spans="2:17">
      <c r="B325" s="40" t="s">
        <v>80</v>
      </c>
      <c r="C325" s="70">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79" t="e">
        <f>VLOOKUP(J325,辅助信息!H:I,2,FALSE)</f>
        <v>#N/A</v>
      </c>
      <c r="L325" s="78"/>
      <c r="M325" s="91">
        <v>45703</v>
      </c>
      <c r="N325" s="91"/>
      <c r="O325" s="62">
        <f ca="1" t="shared" si="0"/>
        <v>0</v>
      </c>
      <c r="P325" s="62">
        <f ca="1" t="shared" si="1"/>
        <v>257</v>
      </c>
      <c r="Q325" s="26" t="e">
        <f>VLOOKUP(B325,辅助信息!E:M,9,FALSE)</f>
        <v>#N/A</v>
      </c>
    </row>
    <row r="326" s="26" customFormat="1" hidden="1" spans="2:17">
      <c r="B326" s="40" t="s">
        <v>80</v>
      </c>
      <c r="C326" s="70">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79" t="e">
        <f>VLOOKUP(J326,辅助信息!H:I,2,FALSE)</f>
        <v>#N/A</v>
      </c>
      <c r="L326" s="78"/>
      <c r="M326" s="91">
        <v>45703</v>
      </c>
      <c r="N326" s="91"/>
      <c r="O326" s="62">
        <f ca="1" t="shared" si="0"/>
        <v>0</v>
      </c>
      <c r="P326" s="62">
        <f ca="1" t="shared" si="1"/>
        <v>257</v>
      </c>
      <c r="Q326" s="26" t="e">
        <f>VLOOKUP(B326,辅助信息!E:M,9,FALSE)</f>
        <v>#N/A</v>
      </c>
    </row>
    <row r="327" s="26" customFormat="1" hidden="1" spans="2:17">
      <c r="B327" s="40" t="s">
        <v>80</v>
      </c>
      <c r="C327" s="70">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79" t="e">
        <f>VLOOKUP(J327,辅助信息!H:I,2,FALSE)</f>
        <v>#N/A</v>
      </c>
      <c r="L327" s="76"/>
      <c r="M327" s="91">
        <v>45703</v>
      </c>
      <c r="N327" s="91"/>
      <c r="O327" s="62">
        <f ca="1" t="shared" si="0"/>
        <v>0</v>
      </c>
      <c r="P327" s="62">
        <f ca="1" t="shared" si="1"/>
        <v>257</v>
      </c>
      <c r="Q327" s="26" t="e">
        <f>VLOOKUP(B327,辅助信息!E:M,9,FALSE)</f>
        <v>#N/A</v>
      </c>
    </row>
    <row r="328" s="26" customFormat="1" hidden="1" spans="2:17">
      <c r="B328" s="40" t="s">
        <v>73</v>
      </c>
      <c r="C328" s="70">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79">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1">
        <v>45703</v>
      </c>
      <c r="N328" s="91"/>
      <c r="O328" s="62">
        <f ca="1" t="shared" si="0"/>
        <v>0</v>
      </c>
      <c r="P328" s="62">
        <f ca="1" t="shared" si="1"/>
        <v>257</v>
      </c>
      <c r="Q328" s="26" t="str">
        <f>VLOOKUP(B328,辅助信息!E:M,9,FALSE)</f>
        <v>ZTWM-CDGS-XS-2024-0248-五冶钢构-南充市医学院项目</v>
      </c>
    </row>
    <row r="329" s="26" customFormat="1" hidden="1" spans="2:17">
      <c r="B329" s="40" t="s">
        <v>73</v>
      </c>
      <c r="C329" s="70">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79">
        <f>VLOOKUP(J329,辅助信息!H:I,2,FALSE)</f>
        <v>18349955455</v>
      </c>
      <c r="L329" s="78"/>
      <c r="M329" s="91">
        <v>45703</v>
      </c>
      <c r="N329" s="91"/>
      <c r="O329" s="62">
        <f ca="1" t="shared" si="0"/>
        <v>0</v>
      </c>
      <c r="P329" s="62">
        <f ca="1" t="shared" si="1"/>
        <v>257</v>
      </c>
      <c r="Q329" s="26" t="str">
        <f>VLOOKUP(B329,辅助信息!E:M,9,FALSE)</f>
        <v>ZTWM-CDGS-XS-2024-0248-五冶钢构-南充市医学院项目</v>
      </c>
    </row>
    <row r="330" s="26" customFormat="1" hidden="1" spans="2:17">
      <c r="B330" s="40" t="s">
        <v>73</v>
      </c>
      <c r="C330" s="70">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79">
        <f>VLOOKUP(J330,辅助信息!H:I,2,FALSE)</f>
        <v>18349955455</v>
      </c>
      <c r="L330" s="78"/>
      <c r="M330" s="91">
        <v>45703</v>
      </c>
      <c r="N330" s="91"/>
      <c r="O330" s="62">
        <f ca="1" t="shared" si="0"/>
        <v>0</v>
      </c>
      <c r="P330" s="62">
        <f ca="1" t="shared" si="1"/>
        <v>257</v>
      </c>
      <c r="Q330" s="26" t="str">
        <f>VLOOKUP(B330,辅助信息!E:M,9,FALSE)</f>
        <v>ZTWM-CDGS-XS-2024-0248-五冶钢构-南充市医学院项目</v>
      </c>
    </row>
    <row r="331" s="26" customFormat="1" hidden="1" spans="2:17">
      <c r="B331" s="40" t="s">
        <v>73</v>
      </c>
      <c r="C331" s="70">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79">
        <f>VLOOKUP(J331,辅助信息!H:I,2,FALSE)</f>
        <v>18349955455</v>
      </c>
      <c r="L331" s="76"/>
      <c r="M331" s="91">
        <v>45703</v>
      </c>
      <c r="N331" s="91"/>
      <c r="O331" s="62">
        <f ca="1" t="shared" si="0"/>
        <v>0</v>
      </c>
      <c r="P331" s="62">
        <f ca="1" t="shared" si="1"/>
        <v>257</v>
      </c>
      <c r="Q331" s="26" t="str">
        <f>VLOOKUP(B331,辅助信息!E:M,9,FALSE)</f>
        <v>ZTWM-CDGS-XS-2024-0248-五冶钢构-南充市医学院项目</v>
      </c>
    </row>
    <row r="332" s="26" customFormat="1" hidden="1" spans="2:17">
      <c r="B332" s="40" t="s">
        <v>44</v>
      </c>
      <c r="C332" s="70">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79">
        <f>VLOOKUP(J332,辅助信息!H:I,2,FALSE)</f>
        <v>18384145895</v>
      </c>
      <c r="L332" s="43" t="str">
        <f>VLOOKUP(B332,辅助信息!E:J,6,FALSE)</f>
        <v>对方卸车</v>
      </c>
      <c r="M332" s="91">
        <v>45702</v>
      </c>
      <c r="N332" s="91"/>
      <c r="O332" s="62">
        <f ca="1" t="shared" si="0"/>
        <v>0</v>
      </c>
      <c r="P332" s="62">
        <f ca="1" t="shared" si="1"/>
        <v>258</v>
      </c>
      <c r="Q332" s="26" t="str">
        <f>VLOOKUP(B332,辅助信息!E:M,9,FALSE)</f>
        <v>ZTWM-CDGS-XS-2024-0189-华西集采-酒城南项目</v>
      </c>
    </row>
    <row r="333" s="26" customFormat="1" hidden="1" spans="2:17">
      <c r="B333" s="40" t="s">
        <v>44</v>
      </c>
      <c r="C333" s="70">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79">
        <f>VLOOKUP(J333,辅助信息!H:I,2,FALSE)</f>
        <v>18384145895</v>
      </c>
      <c r="L333" s="78"/>
      <c r="M333" s="91">
        <v>45702</v>
      </c>
      <c r="N333" s="91"/>
      <c r="O333" s="62">
        <f ca="1" t="shared" si="0"/>
        <v>0</v>
      </c>
      <c r="P333" s="62">
        <f ca="1" t="shared" si="1"/>
        <v>258</v>
      </c>
      <c r="Q333" s="26" t="str">
        <f>VLOOKUP(B333,辅助信息!E:M,9,FALSE)</f>
        <v>ZTWM-CDGS-XS-2024-0189-华西集采-酒城南项目</v>
      </c>
    </row>
    <row r="334" s="26" customFormat="1" hidden="1" spans="2:17">
      <c r="B334" s="40" t="s">
        <v>44</v>
      </c>
      <c r="C334" s="70">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79">
        <f>VLOOKUP(J334,辅助信息!H:I,2,FALSE)</f>
        <v>18384145895</v>
      </c>
      <c r="L334" s="78"/>
      <c r="M334" s="91">
        <v>45702</v>
      </c>
      <c r="N334" s="91"/>
      <c r="O334" s="62">
        <f ca="1" t="shared" si="0"/>
        <v>0</v>
      </c>
      <c r="P334" s="62">
        <f ca="1" t="shared" si="1"/>
        <v>258</v>
      </c>
      <c r="Q334" s="26" t="str">
        <f>VLOOKUP(B334,辅助信息!E:M,9,FALSE)</f>
        <v>ZTWM-CDGS-XS-2024-0189-华西集采-酒城南项目</v>
      </c>
    </row>
    <row r="335" s="26" customFormat="1" hidden="1" spans="2:17">
      <c r="B335" s="40" t="s">
        <v>44</v>
      </c>
      <c r="C335" s="70">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79">
        <f>VLOOKUP(J335,辅助信息!H:I,2,FALSE)</f>
        <v>18384145895</v>
      </c>
      <c r="L335" s="76"/>
      <c r="M335" s="91">
        <v>45702</v>
      </c>
      <c r="N335" s="91"/>
      <c r="O335" s="62">
        <f ca="1" t="shared" si="0"/>
        <v>0</v>
      </c>
      <c r="P335" s="62">
        <f ca="1" t="shared" si="1"/>
        <v>258</v>
      </c>
      <c r="Q335" s="26" t="str">
        <f>VLOOKUP(B335,辅助信息!E:M,9,FALSE)</f>
        <v>ZTWM-CDGS-XS-2024-0189-华西集采-酒城南项目</v>
      </c>
    </row>
    <row r="336" s="26" customFormat="1" hidden="1" spans="2:17">
      <c r="B336" s="40" t="s">
        <v>80</v>
      </c>
      <c r="C336" s="70">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1">
        <v>45703</v>
      </c>
      <c r="N336" s="91"/>
      <c r="O336" s="62">
        <f ca="1" t="shared" si="0"/>
        <v>0</v>
      </c>
      <c r="P336" s="62">
        <f ca="1" t="shared" si="1"/>
        <v>257</v>
      </c>
      <c r="Q336" s="26" t="e">
        <f>VLOOKUP(B336,辅助信息!E:M,9,FALSE)</f>
        <v>#N/A</v>
      </c>
    </row>
    <row r="337" s="26" customFormat="1" hidden="1" spans="2:17">
      <c r="B337" s="40" t="s">
        <v>80</v>
      </c>
      <c r="C337" s="70">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8"/>
      <c r="M337" s="91">
        <v>45703</v>
      </c>
      <c r="N337" s="91"/>
      <c r="O337" s="62">
        <f ca="1" t="shared" si="0"/>
        <v>0</v>
      </c>
      <c r="P337" s="62">
        <f ca="1" t="shared" si="1"/>
        <v>257</v>
      </c>
      <c r="Q337" s="26" t="e">
        <f>VLOOKUP(B337,辅助信息!E:M,9,FALSE)</f>
        <v>#N/A</v>
      </c>
    </row>
    <row r="338" s="26" customFormat="1" hidden="1" spans="2:17">
      <c r="B338" s="40" t="s">
        <v>80</v>
      </c>
      <c r="C338" s="70">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6"/>
      <c r="M338" s="91">
        <v>45703</v>
      </c>
      <c r="N338" s="91"/>
      <c r="O338" s="62">
        <f ca="1" t="shared" si="0"/>
        <v>0</v>
      </c>
      <c r="P338" s="62">
        <f ca="1" t="shared" si="1"/>
        <v>257</v>
      </c>
      <c r="Q338" s="26" t="e">
        <f>VLOOKUP(B338,辅助信息!E:M,9,FALSE)</f>
        <v>#N/A</v>
      </c>
    </row>
    <row r="339" s="26" customFormat="1" hidden="1" spans="2:17">
      <c r="B339" s="40" t="s">
        <v>73</v>
      </c>
      <c r="C339" s="70">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1">
        <v>45703</v>
      </c>
      <c r="N339" s="91"/>
      <c r="O339" s="62">
        <f ca="1" t="shared" si="0"/>
        <v>0</v>
      </c>
      <c r="P339" s="62">
        <f ca="1" t="shared" si="1"/>
        <v>257</v>
      </c>
      <c r="Q339" s="26" t="str">
        <f>VLOOKUP(B339,辅助信息!E:M,9,FALSE)</f>
        <v>ZTWM-CDGS-XS-2024-0248-五冶钢构-南充市医学院项目</v>
      </c>
    </row>
    <row r="340" s="26" customFormat="1" hidden="1" spans="2:17">
      <c r="B340" s="40" t="s">
        <v>73</v>
      </c>
      <c r="C340" s="70">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8"/>
      <c r="M340" s="91">
        <v>45703</v>
      </c>
      <c r="N340" s="91"/>
      <c r="O340" s="62">
        <f ca="1" t="shared" si="0"/>
        <v>0</v>
      </c>
      <c r="P340" s="62">
        <f ca="1" t="shared" si="1"/>
        <v>257</v>
      </c>
      <c r="Q340" s="26" t="str">
        <f>VLOOKUP(B340,辅助信息!E:M,9,FALSE)</f>
        <v>ZTWM-CDGS-XS-2024-0248-五冶钢构-南充市医学院项目</v>
      </c>
    </row>
    <row r="341" s="26" customFormat="1" hidden="1" spans="2:17">
      <c r="B341" s="40" t="s">
        <v>73</v>
      </c>
      <c r="C341" s="70">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6"/>
      <c r="M341" s="91">
        <v>45703</v>
      </c>
      <c r="N341" s="91"/>
      <c r="O341" s="62">
        <f ca="1" t="shared" si="0"/>
        <v>0</v>
      </c>
      <c r="P341" s="62">
        <f ca="1" t="shared" si="1"/>
        <v>257</v>
      </c>
      <c r="Q341" s="26" t="str">
        <f>VLOOKUP(B341,辅助信息!E:M,9,FALSE)</f>
        <v>ZTWM-CDGS-XS-2024-0248-五冶钢构-南充市医学院项目</v>
      </c>
    </row>
    <row r="342" s="26" customFormat="1" hidden="1" spans="2:17">
      <c r="B342" s="40" t="s">
        <v>44</v>
      </c>
      <c r="C342" s="70">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1">
        <v>45702</v>
      </c>
      <c r="N342" s="91"/>
      <c r="O342" s="62">
        <f ca="1" t="shared" si="0"/>
        <v>0</v>
      </c>
      <c r="P342" s="62">
        <f ca="1" t="shared" si="1"/>
        <v>258</v>
      </c>
      <c r="Q342" s="26" t="str">
        <f>VLOOKUP(B342,辅助信息!E:M,9,FALSE)</f>
        <v>ZTWM-CDGS-XS-2024-0189-华西集采-酒城南项目</v>
      </c>
    </row>
    <row r="343" s="26" customFormat="1" hidden="1" spans="2:17">
      <c r="B343" s="40" t="s">
        <v>44</v>
      </c>
      <c r="C343" s="70">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8"/>
      <c r="M343" s="91">
        <v>45702</v>
      </c>
      <c r="N343" s="91"/>
      <c r="O343" s="62">
        <f ca="1" t="shared" si="0"/>
        <v>0</v>
      </c>
      <c r="P343" s="62">
        <f ca="1" t="shared" si="1"/>
        <v>258</v>
      </c>
      <c r="Q343" s="26" t="str">
        <f>VLOOKUP(B343,辅助信息!E:M,9,FALSE)</f>
        <v>ZTWM-CDGS-XS-2024-0189-华西集采-酒城南项目</v>
      </c>
    </row>
    <row r="344" s="26" customFormat="1" hidden="1" spans="2:17">
      <c r="B344" s="40" t="s">
        <v>44</v>
      </c>
      <c r="C344" s="70">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8"/>
      <c r="M344" s="91">
        <v>45702</v>
      </c>
      <c r="N344" s="91"/>
      <c r="O344" s="62">
        <f ca="1" t="shared" si="0"/>
        <v>0</v>
      </c>
      <c r="P344" s="62">
        <f ca="1" t="shared" si="1"/>
        <v>258</v>
      </c>
      <c r="Q344" s="26" t="str">
        <f>VLOOKUP(B344,辅助信息!E:M,9,FALSE)</f>
        <v>ZTWM-CDGS-XS-2024-0189-华西集采-酒城南项目</v>
      </c>
    </row>
    <row r="345" s="26" customFormat="1" hidden="1" spans="2:17">
      <c r="B345" s="40" t="s">
        <v>44</v>
      </c>
      <c r="C345" s="70">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6"/>
      <c r="M345" s="91">
        <v>45702</v>
      </c>
      <c r="N345" s="91"/>
      <c r="O345" s="62">
        <f ca="1" t="shared" si="0"/>
        <v>0</v>
      </c>
      <c r="P345" s="62">
        <f ca="1" t="shared" si="1"/>
        <v>258</v>
      </c>
      <c r="Q345" s="26" t="str">
        <f>VLOOKUP(B345,辅助信息!E:M,9,FALSE)</f>
        <v>ZTWM-CDGS-XS-2024-0189-华西集采-酒城南项目</v>
      </c>
    </row>
    <row r="346" ht="36" hidden="1" customHeight="1" spans="2:18">
      <c r="B346" s="40" t="s">
        <v>81</v>
      </c>
      <c r="C346" s="70">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3" t="str">
        <f>VLOOKUP(B346,辅助信息!E:J,6,FALSE)</f>
        <v>现场禁止使用氢能源挂车！优先威钢发货,我方卸车,新老国标钢厂不加价可直发，因陕钢多次出现磅差，项目拒绝使用</v>
      </c>
      <c r="M346" s="91">
        <v>45701</v>
      </c>
      <c r="N346" s="91"/>
      <c r="O346" s="62">
        <f ca="1" t="shared" si="0"/>
        <v>0</v>
      </c>
      <c r="P346" s="62">
        <f ca="1" t="shared" si="1"/>
        <v>259</v>
      </c>
      <c r="Q346" s="26" t="str">
        <f>VLOOKUP(B346,辅助信息!E:M,9,FALSE)</f>
        <v>ZTWM-CDGS-XS-2024-0030-华西集采-简州大道</v>
      </c>
      <c r="R346" s="26"/>
    </row>
    <row r="347" hidden="1" spans="2:18">
      <c r="B347" s="40" t="s">
        <v>60</v>
      </c>
      <c r="C347" s="70">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1">
        <v>45702</v>
      </c>
      <c r="N347" s="57"/>
      <c r="O347" s="62">
        <f ca="1" t="shared" si="0"/>
        <v>0</v>
      </c>
      <c r="P347" s="62">
        <f ca="1" t="shared" si="1"/>
        <v>258</v>
      </c>
      <c r="Q347" s="26" t="str">
        <f>VLOOKUP(B347,辅助信息!E:M,9,FALSE)</f>
        <v>ZTWM-CDGS-XS-2024-0248-五冶钢构-南充市医学院项目</v>
      </c>
      <c r="R347" s="26"/>
    </row>
    <row r="348" hidden="1" spans="2:18">
      <c r="B348" s="40" t="s">
        <v>60</v>
      </c>
      <c r="C348" s="70">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8"/>
      <c r="M348" s="91">
        <v>45702</v>
      </c>
      <c r="N348" s="57"/>
      <c r="O348" s="62">
        <f ca="1" t="shared" si="0"/>
        <v>0</v>
      </c>
      <c r="P348" s="62">
        <f ca="1" t="shared" si="1"/>
        <v>258</v>
      </c>
      <c r="Q348" s="26" t="str">
        <f>VLOOKUP(B348,辅助信息!E:M,9,FALSE)</f>
        <v>ZTWM-CDGS-XS-2024-0248-五冶钢构-南充市医学院项目</v>
      </c>
      <c r="R348" s="26"/>
    </row>
    <row r="349" hidden="1" spans="2:18">
      <c r="B349" s="40" t="s">
        <v>60</v>
      </c>
      <c r="C349" s="70">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6"/>
      <c r="M349" s="91">
        <v>45702</v>
      </c>
      <c r="N349" s="57"/>
      <c r="O349" s="62">
        <f ca="1" t="shared" si="0"/>
        <v>0</v>
      </c>
      <c r="P349" s="62">
        <f ca="1" t="shared" si="1"/>
        <v>258</v>
      </c>
      <c r="Q349" s="26" t="str">
        <f>VLOOKUP(B349,辅助信息!E:M,9,FALSE)</f>
        <v>ZTWM-CDGS-XS-2024-0248-五冶钢构-南充市医学院项目</v>
      </c>
      <c r="R349" s="26"/>
    </row>
    <row r="350" s="26" customFormat="1" hidden="1" spans="2:17">
      <c r="B350" s="40" t="s">
        <v>80</v>
      </c>
      <c r="C350" s="70">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1">
        <v>45703</v>
      </c>
      <c r="N350" s="91"/>
      <c r="O350" s="62">
        <f ca="1" t="shared" si="0"/>
        <v>0</v>
      </c>
      <c r="P350" s="62">
        <f ca="1" t="shared" si="1"/>
        <v>257</v>
      </c>
      <c r="Q350" s="26" t="e">
        <f>VLOOKUP(B350,辅助信息!E:M,9,FALSE)</f>
        <v>#N/A</v>
      </c>
    </row>
    <row r="351" s="26" customFormat="1" hidden="1" spans="2:17">
      <c r="B351" s="40" t="s">
        <v>80</v>
      </c>
      <c r="C351" s="70">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8"/>
      <c r="M351" s="91">
        <v>45703</v>
      </c>
      <c r="N351" s="91"/>
      <c r="O351" s="62">
        <f ca="1" t="shared" si="0"/>
        <v>0</v>
      </c>
      <c r="P351" s="62">
        <f ca="1" t="shared" si="1"/>
        <v>257</v>
      </c>
      <c r="Q351" s="26" t="e">
        <f>VLOOKUP(B351,辅助信息!E:M,9,FALSE)</f>
        <v>#N/A</v>
      </c>
    </row>
    <row r="352" s="26" customFormat="1" hidden="1" spans="2:17">
      <c r="B352" s="40" t="s">
        <v>80</v>
      </c>
      <c r="C352" s="70">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6"/>
      <c r="M352" s="91">
        <v>45703</v>
      </c>
      <c r="N352" s="91"/>
      <c r="O352" s="62">
        <f ca="1" t="shared" si="0"/>
        <v>0</v>
      </c>
      <c r="P352" s="62">
        <f ca="1" t="shared" si="1"/>
        <v>257</v>
      </c>
      <c r="Q352" s="26" t="e">
        <f>VLOOKUP(B352,辅助信息!E:M,9,FALSE)</f>
        <v>#N/A</v>
      </c>
    </row>
    <row r="353" hidden="1" spans="1:18">
      <c r="A353" s="26"/>
      <c r="B353" s="40" t="s">
        <v>64</v>
      </c>
      <c r="C353" s="70">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4" t="e">
        <f>VLOOKUP(B356,辅助信息!E:J,6,FALSE)</f>
        <v>#N/A</v>
      </c>
      <c r="M353" s="91">
        <v>45704</v>
      </c>
      <c r="N353" s="57"/>
      <c r="O353" s="62">
        <f ca="1" t="shared" si="0"/>
        <v>0</v>
      </c>
      <c r="P353" s="62">
        <f ca="1" t="shared" si="1"/>
        <v>256</v>
      </c>
      <c r="Q353" s="26" t="e">
        <f>VLOOKUP(B353,辅助信息!E:M,9,FALSE)</f>
        <v>#N/A</v>
      </c>
      <c r="R353" s="26"/>
    </row>
    <row r="354" hidden="1" spans="1:18">
      <c r="A354" s="26"/>
      <c r="B354" s="40" t="s">
        <v>64</v>
      </c>
      <c r="C354" s="70">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8"/>
      <c r="M354" s="91">
        <v>45704</v>
      </c>
      <c r="N354" s="57"/>
      <c r="O354" s="62">
        <f ca="1" t="shared" si="0"/>
        <v>0</v>
      </c>
      <c r="P354" s="62">
        <f ca="1" t="shared" si="1"/>
        <v>256</v>
      </c>
      <c r="Q354" s="26" t="e">
        <f>VLOOKUP(B354,辅助信息!E:M,9,FALSE)</f>
        <v>#N/A</v>
      </c>
      <c r="R354" s="26"/>
    </row>
    <row r="355" hidden="1" spans="1:18">
      <c r="A355" s="26"/>
      <c r="B355" s="40" t="s">
        <v>64</v>
      </c>
      <c r="C355" s="70">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8"/>
      <c r="M355" s="91">
        <v>45704</v>
      </c>
      <c r="N355" s="57"/>
      <c r="O355" s="62">
        <f ca="1" t="shared" si="0"/>
        <v>0</v>
      </c>
      <c r="P355" s="62">
        <f ca="1" t="shared" si="1"/>
        <v>256</v>
      </c>
      <c r="Q355" s="26" t="e">
        <f>VLOOKUP(B355,辅助信息!E:M,9,FALSE)</f>
        <v>#N/A</v>
      </c>
      <c r="R355" s="26"/>
    </row>
    <row r="356" hidden="1" spans="2:18">
      <c r="B356" s="40" t="s">
        <v>64</v>
      </c>
      <c r="C356" s="70">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6"/>
      <c r="M356" s="91">
        <v>45704</v>
      </c>
      <c r="N356" s="57"/>
      <c r="O356" s="62">
        <f ca="1" t="shared" si="0"/>
        <v>0</v>
      </c>
      <c r="P356" s="62">
        <f ca="1" t="shared" si="1"/>
        <v>256</v>
      </c>
      <c r="Q356" s="26" t="e">
        <f>VLOOKUP(B356,辅助信息!E:M,9,FALSE)</f>
        <v>#N/A</v>
      </c>
      <c r="R356" s="26"/>
    </row>
    <row r="357" hidden="1" spans="2:18">
      <c r="B357" s="40" t="s">
        <v>48</v>
      </c>
      <c r="C357" s="70">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1">
        <v>45705</v>
      </c>
      <c r="N357" s="57"/>
      <c r="O357" s="62">
        <f ca="1" t="shared" si="0"/>
        <v>0</v>
      </c>
      <c r="P357" s="62">
        <f ca="1" t="shared" si="1"/>
        <v>255</v>
      </c>
      <c r="Q357" s="26" t="str">
        <f>VLOOKUP(B357,辅助信息!E:M,9,FALSE)</f>
        <v>ZTWM-CDGS-XS-2024-0093-华西-颐海科创农业生态谷</v>
      </c>
      <c r="R357" s="26"/>
    </row>
    <row r="358" hidden="1" spans="2:18">
      <c r="B358" s="40" t="s">
        <v>48</v>
      </c>
      <c r="C358" s="70">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8"/>
      <c r="M358" s="91">
        <v>45705</v>
      </c>
      <c r="N358" s="57"/>
      <c r="O358" s="62">
        <f ca="1" t="shared" si="0"/>
        <v>0</v>
      </c>
      <c r="P358" s="62">
        <f ca="1" t="shared" si="1"/>
        <v>255</v>
      </c>
      <c r="Q358" s="26" t="str">
        <f>VLOOKUP(B358,辅助信息!E:M,9,FALSE)</f>
        <v>ZTWM-CDGS-XS-2024-0093-华西-颐海科创农业生态谷</v>
      </c>
      <c r="R358" s="26"/>
    </row>
    <row r="359" hidden="1" spans="2:18">
      <c r="B359" s="40" t="s">
        <v>48</v>
      </c>
      <c r="C359" s="70">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8"/>
      <c r="M359" s="91">
        <v>45705</v>
      </c>
      <c r="N359" s="57"/>
      <c r="O359" s="62">
        <f ca="1" t="shared" si="0"/>
        <v>0</v>
      </c>
      <c r="P359" s="62">
        <f ca="1" t="shared" si="1"/>
        <v>255</v>
      </c>
      <c r="Q359" s="26" t="str">
        <f>VLOOKUP(B359,辅助信息!E:M,9,FALSE)</f>
        <v>ZTWM-CDGS-XS-2024-0093-华西-颐海科创农业生态谷</v>
      </c>
      <c r="R359" s="26"/>
    </row>
    <row r="360" hidden="1" spans="2:18">
      <c r="B360" s="40" t="s">
        <v>48</v>
      </c>
      <c r="C360" s="70">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8"/>
      <c r="M360" s="91">
        <v>45705</v>
      </c>
      <c r="N360" s="57"/>
      <c r="O360" s="62">
        <f ca="1" t="shared" si="0"/>
        <v>0</v>
      </c>
      <c r="P360" s="62">
        <f ca="1" t="shared" si="1"/>
        <v>255</v>
      </c>
      <c r="Q360" s="26" t="str">
        <f>VLOOKUP(B360,辅助信息!E:M,9,FALSE)</f>
        <v>ZTWM-CDGS-XS-2024-0093-华西-颐海科创农业生态谷</v>
      </c>
      <c r="R360" s="26"/>
    </row>
    <row r="361" hidden="1" spans="2:18">
      <c r="B361" s="40" t="s">
        <v>48</v>
      </c>
      <c r="C361" s="70">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6"/>
      <c r="M361" s="91">
        <v>45705</v>
      </c>
      <c r="N361" s="57"/>
      <c r="O361" s="62">
        <f ca="1" t="shared" si="0"/>
        <v>0</v>
      </c>
      <c r="P361" s="62">
        <f ca="1" t="shared" si="1"/>
        <v>255</v>
      </c>
      <c r="Q361" s="26" t="str">
        <f>VLOOKUP(B361,辅助信息!E:M,9,FALSE)</f>
        <v>ZTWM-CDGS-XS-2024-0093-华西-颐海科创农业生态谷</v>
      </c>
      <c r="R361" s="26"/>
    </row>
    <row r="362" hidden="1" spans="2:18">
      <c r="B362" s="40" t="s">
        <v>29</v>
      </c>
      <c r="C362" s="70">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1">
        <v>45705</v>
      </c>
      <c r="N362" s="57"/>
      <c r="O362" s="62">
        <f ca="1" t="shared" si="0"/>
        <v>0</v>
      </c>
      <c r="P362" s="62">
        <f ca="1" t="shared" si="1"/>
        <v>255</v>
      </c>
      <c r="Q362" s="26" t="e">
        <f>VLOOKUP(B362,辅助信息!E:M,9,FALSE)</f>
        <v>#N/A</v>
      </c>
      <c r="R362" s="26"/>
    </row>
    <row r="363" hidden="1" spans="1:18">
      <c r="A363" s="92">
        <v>15</v>
      </c>
      <c r="B363" s="40" t="s">
        <v>29</v>
      </c>
      <c r="C363" s="70">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8"/>
      <c r="M363" s="91">
        <v>45705</v>
      </c>
      <c r="N363" s="57"/>
      <c r="O363" s="62">
        <f ca="1" t="shared" si="0"/>
        <v>0</v>
      </c>
      <c r="P363" s="62">
        <f ca="1" t="shared" si="1"/>
        <v>255</v>
      </c>
      <c r="Q363" s="26" t="e">
        <f>VLOOKUP(B363,辅助信息!E:M,9,FALSE)</f>
        <v>#N/A</v>
      </c>
      <c r="R363" s="26"/>
    </row>
    <row r="364" hidden="1" spans="2:18">
      <c r="B364" s="40" t="s">
        <v>29</v>
      </c>
      <c r="C364" s="70">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6"/>
      <c r="M364" s="91">
        <v>45705</v>
      </c>
      <c r="N364" s="57"/>
      <c r="O364" s="62">
        <f ca="1" t="shared" si="0"/>
        <v>0</v>
      </c>
      <c r="P364" s="62">
        <f ca="1" t="shared" si="1"/>
        <v>255</v>
      </c>
      <c r="Q364" s="26" t="e">
        <f>VLOOKUP(B364,辅助信息!E:M,9,FALSE)</f>
        <v>#N/A</v>
      </c>
      <c r="R364" s="26"/>
    </row>
    <row r="365" hidden="1" spans="2:18">
      <c r="B365" s="40" t="s">
        <v>78</v>
      </c>
      <c r="C365" s="70">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1">
        <v>45705</v>
      </c>
      <c r="N365" s="57"/>
      <c r="O365" s="62">
        <f ca="1" t="shared" si="0"/>
        <v>0</v>
      </c>
      <c r="P365" s="62">
        <f ca="1" t="shared" si="1"/>
        <v>255</v>
      </c>
      <c r="Q365" s="26" t="e">
        <f>VLOOKUP(B365,辅助信息!E:M,9,FALSE)</f>
        <v>#N/A</v>
      </c>
      <c r="R365" s="26"/>
    </row>
    <row r="366" hidden="1" spans="2:18">
      <c r="B366" s="40" t="s">
        <v>78</v>
      </c>
      <c r="C366" s="70">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8"/>
      <c r="M366" s="91">
        <v>45705</v>
      </c>
      <c r="N366" s="57"/>
      <c r="O366" s="62">
        <f ca="1" t="shared" si="0"/>
        <v>0</v>
      </c>
      <c r="P366" s="62">
        <f ca="1" t="shared" si="1"/>
        <v>255</v>
      </c>
      <c r="Q366" s="26" t="e">
        <f>VLOOKUP(B366,辅助信息!E:M,9,FALSE)</f>
        <v>#N/A</v>
      </c>
      <c r="R366" s="26"/>
    </row>
    <row r="367" hidden="1" spans="2:18">
      <c r="B367" s="40" t="s">
        <v>78</v>
      </c>
      <c r="C367" s="70">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6"/>
      <c r="M367" s="91">
        <v>45705</v>
      </c>
      <c r="N367" s="57"/>
      <c r="O367" s="62">
        <f ca="1" t="shared" si="0"/>
        <v>0</v>
      </c>
      <c r="P367" s="62">
        <f ca="1" t="shared" si="1"/>
        <v>255</v>
      </c>
      <c r="Q367" s="26" t="e">
        <f>VLOOKUP(B367,辅助信息!E:M,9,FALSE)</f>
        <v>#N/A</v>
      </c>
      <c r="R367" s="26"/>
    </row>
    <row r="368" hidden="1" spans="2:18">
      <c r="B368" s="40" t="s">
        <v>69</v>
      </c>
      <c r="C368" s="70">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1">
        <v>45704</v>
      </c>
      <c r="N368" s="57"/>
      <c r="O368" s="62">
        <f ca="1" t="shared" si="0"/>
        <v>0</v>
      </c>
      <c r="P368" s="62">
        <f ca="1" t="shared" si="1"/>
        <v>256</v>
      </c>
      <c r="Q368" s="26" t="str">
        <f>VLOOKUP(B368,辅助信息!E:M,9,FALSE)</f>
        <v>ZTWM-CDGS-XS-2024-0134-商投建工达州中医药科技成果示范园项目</v>
      </c>
      <c r="R368" s="26"/>
    </row>
    <row r="369" hidden="1" spans="2:18">
      <c r="B369" s="40" t="s">
        <v>69</v>
      </c>
      <c r="C369" s="70">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8"/>
      <c r="M369" s="91">
        <v>45704</v>
      </c>
      <c r="N369" s="57"/>
      <c r="O369" s="62">
        <f ca="1" t="shared" si="0"/>
        <v>0</v>
      </c>
      <c r="P369" s="62">
        <f ca="1" t="shared" si="1"/>
        <v>256</v>
      </c>
      <c r="Q369" s="26" t="str">
        <f>VLOOKUP(B369,辅助信息!E:M,9,FALSE)</f>
        <v>ZTWM-CDGS-XS-2024-0134-商投建工达州中医药科技成果示范园项目</v>
      </c>
      <c r="R369" s="26"/>
    </row>
    <row r="370" hidden="1" spans="2:18">
      <c r="B370" s="40" t="s">
        <v>69</v>
      </c>
      <c r="C370" s="70">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8"/>
      <c r="M370" s="91">
        <v>45704</v>
      </c>
      <c r="N370" s="57"/>
      <c r="O370" s="62">
        <f ca="1" t="shared" si="0"/>
        <v>0</v>
      </c>
      <c r="P370" s="62">
        <f ca="1" t="shared" si="1"/>
        <v>256</v>
      </c>
      <c r="Q370" s="26" t="str">
        <f>VLOOKUP(B370,辅助信息!E:M,9,FALSE)</f>
        <v>ZTWM-CDGS-XS-2024-0134-商投建工达州中医药科技成果示范园项目</v>
      </c>
      <c r="R370" s="26"/>
    </row>
    <row r="371" hidden="1" spans="2:18">
      <c r="B371" s="40" t="s">
        <v>69</v>
      </c>
      <c r="C371" s="70">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8"/>
      <c r="M371" s="91">
        <v>45704</v>
      </c>
      <c r="N371" s="57"/>
      <c r="O371" s="62">
        <f ca="1" t="shared" si="0"/>
        <v>0</v>
      </c>
      <c r="P371" s="62">
        <f ca="1" t="shared" si="1"/>
        <v>256</v>
      </c>
      <c r="Q371" s="26" t="str">
        <f>VLOOKUP(B371,辅助信息!E:M,9,FALSE)</f>
        <v>ZTWM-CDGS-XS-2024-0134-商投建工达州中医药科技成果示范园项目</v>
      </c>
      <c r="R371" s="26"/>
    </row>
    <row r="372" hidden="1" spans="2:18">
      <c r="B372" s="40" t="s">
        <v>69</v>
      </c>
      <c r="C372" s="70">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8"/>
      <c r="M372" s="91">
        <v>45704</v>
      </c>
      <c r="N372" s="57"/>
      <c r="O372" s="62">
        <f ca="1" t="shared" si="0"/>
        <v>0</v>
      </c>
      <c r="P372" s="62">
        <f ca="1" t="shared" si="1"/>
        <v>256</v>
      </c>
      <c r="Q372" s="26" t="str">
        <f>VLOOKUP(B372,辅助信息!E:M,9,FALSE)</f>
        <v>ZTWM-CDGS-XS-2024-0134-商投建工达州中医药科技成果示范园项目</v>
      </c>
      <c r="R372" s="26"/>
    </row>
    <row r="373" hidden="1" spans="2:18">
      <c r="B373" s="40" t="s">
        <v>69</v>
      </c>
      <c r="C373" s="70">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8"/>
      <c r="M373" s="91">
        <v>45704</v>
      </c>
      <c r="N373" s="57"/>
      <c r="O373" s="62">
        <f ca="1" t="shared" si="0"/>
        <v>0</v>
      </c>
      <c r="P373" s="62">
        <f ca="1" t="shared" si="1"/>
        <v>256</v>
      </c>
      <c r="Q373" s="26" t="str">
        <f>VLOOKUP(B373,辅助信息!E:M,9,FALSE)</f>
        <v>ZTWM-CDGS-XS-2024-0134-商投建工达州中医药科技成果示范园项目</v>
      </c>
      <c r="R373" s="26"/>
    </row>
    <row r="374" hidden="1" spans="2:18">
      <c r="B374" s="40" t="s">
        <v>69</v>
      </c>
      <c r="C374" s="70">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8"/>
      <c r="M374" s="91">
        <v>45704</v>
      </c>
      <c r="N374" s="57"/>
      <c r="O374" s="62">
        <f ca="1" t="shared" si="0"/>
        <v>0</v>
      </c>
      <c r="P374" s="62">
        <f ca="1" t="shared" si="1"/>
        <v>256</v>
      </c>
      <c r="Q374" s="26" t="str">
        <f>VLOOKUP(B374,辅助信息!E:M,9,FALSE)</f>
        <v>ZTWM-CDGS-XS-2024-0134-商投建工达州中医药科技成果示范园项目</v>
      </c>
      <c r="R374" s="26"/>
    </row>
    <row r="375" hidden="1" spans="2:18">
      <c r="B375" s="40" t="s">
        <v>69</v>
      </c>
      <c r="C375" s="70">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8"/>
      <c r="M375" s="91">
        <v>45704</v>
      </c>
      <c r="N375" s="57"/>
      <c r="O375" s="62">
        <f ca="1" t="shared" si="0"/>
        <v>0</v>
      </c>
      <c r="P375" s="62">
        <f ca="1" t="shared" si="1"/>
        <v>256</v>
      </c>
      <c r="Q375" s="26" t="str">
        <f>VLOOKUP(B375,辅助信息!E:M,9,FALSE)</f>
        <v>ZTWM-CDGS-XS-2024-0134-商投建工达州中医药科技成果示范园项目</v>
      </c>
      <c r="R375" s="26"/>
    </row>
    <row r="376" hidden="1" spans="2:18">
      <c r="B376" s="40" t="s">
        <v>69</v>
      </c>
      <c r="C376" s="70">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8"/>
      <c r="M376" s="91">
        <v>45704</v>
      </c>
      <c r="N376" s="57"/>
      <c r="O376" s="62">
        <f ca="1" t="shared" si="0"/>
        <v>0</v>
      </c>
      <c r="P376" s="62">
        <f ca="1" t="shared" si="1"/>
        <v>256</v>
      </c>
      <c r="Q376" s="26" t="str">
        <f>VLOOKUP(B376,辅助信息!E:M,9,FALSE)</f>
        <v>ZTWM-CDGS-XS-2024-0134-商投建工达州中医药科技成果示范园项目</v>
      </c>
      <c r="R376" s="26"/>
    </row>
    <row r="377" hidden="1" spans="2:18">
      <c r="B377" s="40" t="s">
        <v>69</v>
      </c>
      <c r="C377" s="70">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8"/>
      <c r="M377" s="91">
        <v>45704</v>
      </c>
      <c r="N377" s="57"/>
      <c r="O377" s="62">
        <f ca="1" t="shared" si="0"/>
        <v>0</v>
      </c>
      <c r="P377" s="62">
        <f ca="1" t="shared" si="1"/>
        <v>256</v>
      </c>
      <c r="Q377" s="26" t="str">
        <f>VLOOKUP(B377,辅助信息!E:M,9,FALSE)</f>
        <v>ZTWM-CDGS-XS-2024-0134-商投建工达州中医药科技成果示范园项目</v>
      </c>
      <c r="R377" s="26"/>
    </row>
    <row r="378" hidden="1" spans="2:18">
      <c r="B378" s="40" t="s">
        <v>69</v>
      </c>
      <c r="C378" s="70">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8"/>
      <c r="M378" s="91">
        <v>45704</v>
      </c>
      <c r="N378" s="57"/>
      <c r="O378" s="62">
        <f ca="1" t="shared" si="0"/>
        <v>0</v>
      </c>
      <c r="P378" s="62">
        <f ca="1" t="shared" si="1"/>
        <v>256</v>
      </c>
      <c r="Q378" s="26" t="str">
        <f>VLOOKUP(B378,辅助信息!E:M,9,FALSE)</f>
        <v>ZTWM-CDGS-XS-2024-0134-商投建工达州中医药科技成果示范园项目</v>
      </c>
      <c r="R378" s="26"/>
    </row>
    <row r="379" hidden="1" spans="2:18">
      <c r="B379" s="40" t="s">
        <v>69</v>
      </c>
      <c r="C379" s="70">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8"/>
      <c r="M379" s="91">
        <v>45704</v>
      </c>
      <c r="N379" s="57"/>
      <c r="O379" s="62">
        <f ca="1" t="shared" si="0"/>
        <v>0</v>
      </c>
      <c r="P379" s="62">
        <f ca="1" t="shared" si="1"/>
        <v>256</v>
      </c>
      <c r="Q379" s="26" t="str">
        <f>VLOOKUP(B379,辅助信息!E:M,9,FALSE)</f>
        <v>ZTWM-CDGS-XS-2024-0134-商投建工达州中医药科技成果示范园项目</v>
      </c>
      <c r="R379" s="26"/>
    </row>
    <row r="380" hidden="1" spans="2:18">
      <c r="B380" s="40" t="s">
        <v>69</v>
      </c>
      <c r="C380" s="70">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8"/>
      <c r="M380" s="91">
        <v>45704</v>
      </c>
      <c r="N380" s="57"/>
      <c r="O380" s="62">
        <f ca="1" t="shared" si="0"/>
        <v>0</v>
      </c>
      <c r="P380" s="62">
        <f ca="1" t="shared" si="1"/>
        <v>256</v>
      </c>
      <c r="Q380" s="26" t="str">
        <f>VLOOKUP(B380,辅助信息!E:M,9,FALSE)</f>
        <v>ZTWM-CDGS-XS-2024-0134-商投建工达州中医药科技成果示范园项目</v>
      </c>
      <c r="R380" s="26"/>
    </row>
    <row r="381" hidden="1" spans="2:18">
      <c r="B381" s="40" t="s">
        <v>69</v>
      </c>
      <c r="C381" s="70">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8"/>
      <c r="M381" s="91">
        <v>45704</v>
      </c>
      <c r="N381" s="57"/>
      <c r="O381" s="62">
        <f ca="1" t="shared" si="0"/>
        <v>0</v>
      </c>
      <c r="P381" s="62">
        <f ca="1" t="shared" si="1"/>
        <v>256</v>
      </c>
      <c r="Q381" s="26" t="str">
        <f>VLOOKUP(B381,辅助信息!E:M,9,FALSE)</f>
        <v>ZTWM-CDGS-XS-2024-0134-商投建工达州中医药科技成果示范园项目</v>
      </c>
      <c r="R381" s="26"/>
    </row>
    <row r="382" hidden="1" spans="2:18">
      <c r="B382" s="40" t="s">
        <v>69</v>
      </c>
      <c r="C382" s="70">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6"/>
      <c r="M382" s="91">
        <v>45704</v>
      </c>
      <c r="N382" s="57"/>
      <c r="O382" s="62">
        <f ca="1" t="shared" ref="O382:O408" si="2">IF(OR(M382="",N382&lt;&gt;""),"",MAX(M382-TODAY(),0))</f>
        <v>0</v>
      </c>
      <c r="P382" s="62">
        <f ca="1" t="shared" ref="P382:P408" si="3">IF(M382="","",IF(N382&lt;&gt;"",MAX(N382-M382,0),IF(TODAY()&gt;M382,TODAY()-M382,0)))</f>
        <v>256</v>
      </c>
      <c r="Q382" s="26" t="str">
        <f>VLOOKUP(B382,辅助信息!E:M,9,FALSE)</f>
        <v>ZTWM-CDGS-XS-2024-0134-商投建工达州中医药科技成果示范园项目</v>
      </c>
      <c r="R382" s="26"/>
    </row>
    <row r="383" s="26" customFormat="1" hidden="1" spans="2:17">
      <c r="B383" s="40" t="s">
        <v>80</v>
      </c>
      <c r="C383" s="70">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5">
        <v>45703</v>
      </c>
      <c r="N383" s="95"/>
      <c r="O383" s="26">
        <f ca="1" t="shared" si="2"/>
        <v>0</v>
      </c>
      <c r="P383" s="26">
        <f ca="1" t="shared" si="3"/>
        <v>257</v>
      </c>
      <c r="Q383" s="26" t="e">
        <f>VLOOKUP(B383,辅助信息!E:M,9,FALSE)</f>
        <v>#N/A</v>
      </c>
    </row>
    <row r="384" s="26" customFormat="1" hidden="1" spans="2:17">
      <c r="B384" s="40" t="s">
        <v>80</v>
      </c>
      <c r="C384" s="70">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8"/>
      <c r="M384" s="95">
        <v>45703</v>
      </c>
      <c r="N384" s="95"/>
      <c r="O384" s="26">
        <f ca="1" t="shared" si="2"/>
        <v>0</v>
      </c>
      <c r="P384" s="26">
        <f ca="1" t="shared" si="3"/>
        <v>257</v>
      </c>
      <c r="Q384" s="26" t="e">
        <f>VLOOKUP(B384,辅助信息!E:M,9,FALSE)</f>
        <v>#N/A</v>
      </c>
    </row>
    <row r="385" s="26" customFormat="1" hidden="1" spans="2:17">
      <c r="B385" s="40" t="s">
        <v>80</v>
      </c>
      <c r="C385" s="70">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6"/>
      <c r="M385" s="95">
        <v>45703</v>
      </c>
      <c r="N385" s="95"/>
      <c r="O385" s="26">
        <f ca="1" t="shared" si="2"/>
        <v>0</v>
      </c>
      <c r="P385" s="26">
        <f ca="1" t="shared" si="3"/>
        <v>257</v>
      </c>
      <c r="Q385" s="26" t="e">
        <f>VLOOKUP(B385,辅助信息!E:M,9,FALSE)</f>
        <v>#N/A</v>
      </c>
    </row>
    <row r="386" s="26" customFormat="1" hidden="1" spans="1:17">
      <c r="A386" s="96" t="s">
        <v>83</v>
      </c>
      <c r="B386" s="40" t="s">
        <v>64</v>
      </c>
      <c r="C386" s="70">
        <v>45703</v>
      </c>
      <c r="D386" s="40" t="e">
        <f>VLOOKUP(B386,辅助信息!E:K,7,FALSE)</f>
        <v>#N/A</v>
      </c>
      <c r="E386" s="40" t="str">
        <f>VLOOKUP(F386,辅助信息!A:B,2,FALSE)</f>
        <v>盘螺</v>
      </c>
      <c r="F386" s="40" t="s">
        <v>26</v>
      </c>
      <c r="G386" s="97">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5">
        <v>45704</v>
      </c>
      <c r="O386" s="26">
        <f ca="1" t="shared" si="2"/>
        <v>0</v>
      </c>
      <c r="P386" s="26">
        <f ca="1" t="shared" si="3"/>
        <v>256</v>
      </c>
      <c r="Q386" s="26" t="e">
        <f>VLOOKUP(B386,辅助信息!E:M,9,FALSE)</f>
        <v>#N/A</v>
      </c>
    </row>
    <row r="387" s="26" customFormat="1" hidden="1" spans="2:17">
      <c r="B387" s="40" t="s">
        <v>64</v>
      </c>
      <c r="C387" s="70">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8"/>
      <c r="M387" s="95">
        <v>45704</v>
      </c>
      <c r="O387" s="26">
        <f ca="1" t="shared" si="2"/>
        <v>0</v>
      </c>
      <c r="P387" s="26">
        <f ca="1" t="shared" si="3"/>
        <v>256</v>
      </c>
      <c r="Q387" s="26" t="e">
        <f>VLOOKUP(B387,辅助信息!E:M,9,FALSE)</f>
        <v>#N/A</v>
      </c>
    </row>
    <row r="388" s="26" customFormat="1" hidden="1" spans="2:17">
      <c r="B388" s="40" t="s">
        <v>64</v>
      </c>
      <c r="C388" s="70">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8"/>
      <c r="M388" s="95">
        <v>45704</v>
      </c>
      <c r="O388" s="26">
        <f ca="1" t="shared" si="2"/>
        <v>0</v>
      </c>
      <c r="P388" s="26">
        <f ca="1" t="shared" si="3"/>
        <v>256</v>
      </c>
      <c r="Q388" s="26" t="e">
        <f>VLOOKUP(B388,辅助信息!E:M,9,FALSE)</f>
        <v>#N/A</v>
      </c>
    </row>
    <row r="389" s="26" customFormat="1" hidden="1" spans="1:17">
      <c r="A389" s="62"/>
      <c r="B389" s="40" t="s">
        <v>64</v>
      </c>
      <c r="C389" s="70">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6"/>
      <c r="M389" s="91">
        <v>45704</v>
      </c>
      <c r="N389" s="62"/>
      <c r="O389" s="62">
        <f ca="1" t="shared" si="2"/>
        <v>0</v>
      </c>
      <c r="P389" s="62">
        <f ca="1" t="shared" si="3"/>
        <v>256</v>
      </c>
      <c r="Q389" s="26" t="e">
        <f>VLOOKUP(B389,辅助信息!E:M,9,FALSE)</f>
        <v>#N/A</v>
      </c>
    </row>
    <row r="390" s="26" customFormat="1" hidden="1" spans="1:17">
      <c r="A390" s="62"/>
      <c r="B390" s="40" t="s">
        <v>48</v>
      </c>
      <c r="C390" s="70">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1">
        <v>45705</v>
      </c>
      <c r="N390" s="62"/>
      <c r="O390" s="62">
        <f ca="1" t="shared" si="2"/>
        <v>0</v>
      </c>
      <c r="P390" s="62">
        <f ca="1" t="shared" si="3"/>
        <v>255</v>
      </c>
      <c r="Q390" s="26" t="str">
        <f>VLOOKUP(B390,辅助信息!E:M,9,FALSE)</f>
        <v>ZTWM-CDGS-XS-2024-0093-华西-颐海科创农业生态谷</v>
      </c>
    </row>
    <row r="391" s="26" customFormat="1" hidden="1" spans="1:17">
      <c r="A391" s="62"/>
      <c r="B391" s="40" t="s">
        <v>48</v>
      </c>
      <c r="C391" s="70">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8"/>
      <c r="M391" s="91">
        <v>45705</v>
      </c>
      <c r="N391" s="62"/>
      <c r="O391" s="62">
        <f ca="1" t="shared" si="2"/>
        <v>0</v>
      </c>
      <c r="P391" s="62">
        <f ca="1" t="shared" si="3"/>
        <v>255</v>
      </c>
      <c r="Q391" s="26" t="str">
        <f>VLOOKUP(B391,辅助信息!E:M,9,FALSE)</f>
        <v>ZTWM-CDGS-XS-2024-0093-华西-颐海科创农业生态谷</v>
      </c>
    </row>
    <row r="392" s="26" customFormat="1" hidden="1" spans="1:17">
      <c r="A392" s="62"/>
      <c r="B392" s="40" t="s">
        <v>48</v>
      </c>
      <c r="C392" s="70">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8"/>
      <c r="M392" s="91">
        <v>45705</v>
      </c>
      <c r="N392" s="62"/>
      <c r="O392" s="62">
        <f ca="1" t="shared" si="2"/>
        <v>0</v>
      </c>
      <c r="P392" s="62">
        <f ca="1" t="shared" si="3"/>
        <v>255</v>
      </c>
      <c r="Q392" s="26" t="str">
        <f>VLOOKUP(B392,辅助信息!E:M,9,FALSE)</f>
        <v>ZTWM-CDGS-XS-2024-0093-华西-颐海科创农业生态谷</v>
      </c>
    </row>
    <row r="393" s="26" customFormat="1" hidden="1" spans="1:17">
      <c r="A393" s="62"/>
      <c r="B393" s="40" t="s">
        <v>48</v>
      </c>
      <c r="C393" s="70">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8"/>
      <c r="M393" s="91">
        <v>45705</v>
      </c>
      <c r="N393" s="62"/>
      <c r="O393" s="62">
        <f ca="1" t="shared" si="2"/>
        <v>0</v>
      </c>
      <c r="P393" s="62">
        <f ca="1" t="shared" si="3"/>
        <v>255</v>
      </c>
      <c r="Q393" s="26" t="str">
        <f>VLOOKUP(B393,辅助信息!E:M,9,FALSE)</f>
        <v>ZTWM-CDGS-XS-2024-0093-华西-颐海科创农业生态谷</v>
      </c>
    </row>
    <row r="394" s="26" customFormat="1" hidden="1" spans="1:17">
      <c r="A394" s="62"/>
      <c r="B394" s="40" t="s">
        <v>48</v>
      </c>
      <c r="C394" s="70">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6"/>
      <c r="M394" s="91">
        <v>45705</v>
      </c>
      <c r="N394" s="62"/>
      <c r="O394" s="62">
        <f ca="1" t="shared" si="2"/>
        <v>0</v>
      </c>
      <c r="P394" s="62">
        <f ca="1" t="shared" si="3"/>
        <v>255</v>
      </c>
      <c r="Q394" s="26" t="str">
        <f>VLOOKUP(B394,辅助信息!E:M,9,FALSE)</f>
        <v>ZTWM-CDGS-XS-2024-0093-华西-颐海科创农业生态谷</v>
      </c>
    </row>
    <row r="395" s="26" customFormat="1" hidden="1" spans="1:17">
      <c r="A395" s="62"/>
      <c r="B395" s="40" t="s">
        <v>29</v>
      </c>
      <c r="C395" s="70">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1">
        <v>45705</v>
      </c>
      <c r="N395" s="57"/>
      <c r="O395" s="62">
        <f ca="1" t="shared" si="2"/>
        <v>0</v>
      </c>
      <c r="P395" s="62">
        <f ca="1" t="shared" si="3"/>
        <v>255</v>
      </c>
      <c r="Q395" s="26" t="e">
        <f>VLOOKUP(B395,辅助信息!E:M,9,FALSE)</f>
        <v>#N/A</v>
      </c>
    </row>
    <row r="396" s="26" customFormat="1" hidden="1" spans="1:17">
      <c r="A396" s="62"/>
      <c r="B396" s="40" t="s">
        <v>29</v>
      </c>
      <c r="C396" s="70">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8"/>
      <c r="M396" s="91">
        <v>45705</v>
      </c>
      <c r="N396" s="57"/>
      <c r="O396" s="62">
        <f ca="1" t="shared" si="2"/>
        <v>0</v>
      </c>
      <c r="P396" s="62">
        <f ca="1" t="shared" si="3"/>
        <v>255</v>
      </c>
      <c r="Q396" s="26" t="e">
        <f>VLOOKUP(B396,辅助信息!E:M,9,FALSE)</f>
        <v>#N/A</v>
      </c>
    </row>
    <row r="397" s="26" customFormat="1" hidden="1" spans="1:17">
      <c r="A397" s="62"/>
      <c r="B397" s="40" t="s">
        <v>29</v>
      </c>
      <c r="C397" s="70">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6"/>
      <c r="M397" s="91">
        <v>45705</v>
      </c>
      <c r="N397" s="57"/>
      <c r="O397" s="62">
        <f ca="1" t="shared" si="2"/>
        <v>0</v>
      </c>
      <c r="P397" s="62">
        <f ca="1" t="shared" si="3"/>
        <v>255</v>
      </c>
      <c r="Q397" s="26" t="e">
        <f>VLOOKUP(B397,辅助信息!E:M,9,FALSE)</f>
        <v>#N/A</v>
      </c>
    </row>
    <row r="398" s="26" customFormat="1" ht="60" hidden="1" customHeight="1" spans="1:17">
      <c r="A398" s="62"/>
      <c r="B398" s="40" t="s">
        <v>78</v>
      </c>
      <c r="C398" s="70">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1">
        <v>45705</v>
      </c>
      <c r="N398" s="62"/>
      <c r="O398" s="62">
        <f ca="1" t="shared" si="2"/>
        <v>0</v>
      </c>
      <c r="P398" s="62">
        <f ca="1" t="shared" si="3"/>
        <v>255</v>
      </c>
      <c r="Q398" s="26" t="e">
        <f>VLOOKUP(B398,辅助信息!E:M,9,FALSE)</f>
        <v>#N/A</v>
      </c>
    </row>
    <row r="399" s="26" customFormat="1" hidden="1" spans="1:17">
      <c r="A399" s="62"/>
      <c r="B399" s="40" t="s">
        <v>69</v>
      </c>
      <c r="C399" s="70">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1">
        <v>45704</v>
      </c>
      <c r="N399" s="62"/>
      <c r="O399" s="62">
        <f ca="1" t="shared" si="2"/>
        <v>0</v>
      </c>
      <c r="P399" s="62">
        <f ca="1" t="shared" si="3"/>
        <v>256</v>
      </c>
      <c r="Q399" s="26" t="str">
        <f>VLOOKUP(B399,辅助信息!E:M,9,FALSE)</f>
        <v>ZTWM-CDGS-XS-2024-0134-商投建工达州中医药科技成果示范园项目</v>
      </c>
    </row>
    <row r="400" s="26" customFormat="1" hidden="1" spans="1:17">
      <c r="A400" s="62"/>
      <c r="B400" s="40" t="s">
        <v>69</v>
      </c>
      <c r="C400" s="70">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8"/>
      <c r="M400" s="91">
        <v>45704</v>
      </c>
      <c r="N400" s="62"/>
      <c r="O400" s="62">
        <f ca="1" t="shared" si="2"/>
        <v>0</v>
      </c>
      <c r="P400" s="62">
        <f ca="1" t="shared" si="3"/>
        <v>256</v>
      </c>
      <c r="Q400" s="26" t="str">
        <f>VLOOKUP(B400,辅助信息!E:M,9,FALSE)</f>
        <v>ZTWM-CDGS-XS-2024-0134-商投建工达州中医药科技成果示范园项目</v>
      </c>
    </row>
    <row r="401" hidden="1" spans="1:18">
      <c r="A401" s="62"/>
      <c r="B401" s="40" t="s">
        <v>69</v>
      </c>
      <c r="C401" s="70">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8"/>
      <c r="M401" s="91">
        <v>45704</v>
      </c>
      <c r="O401" s="62">
        <f ca="1" t="shared" si="2"/>
        <v>0</v>
      </c>
      <c r="P401" s="62">
        <f ca="1" t="shared" si="3"/>
        <v>256</v>
      </c>
      <c r="Q401" s="26" t="str">
        <f>VLOOKUP(B401,辅助信息!E:M,9,FALSE)</f>
        <v>ZTWM-CDGS-XS-2024-0134-商投建工达州中医药科技成果示范园项目</v>
      </c>
      <c r="R401" s="26"/>
    </row>
    <row r="402" hidden="1" spans="1:18">
      <c r="A402" s="62"/>
      <c r="B402" s="40" t="s">
        <v>69</v>
      </c>
      <c r="C402" s="70">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6"/>
      <c r="M402" s="91">
        <v>45704</v>
      </c>
      <c r="O402" s="62">
        <f ca="1" t="shared" si="2"/>
        <v>0</v>
      </c>
      <c r="P402" s="62">
        <f ca="1" t="shared" si="3"/>
        <v>256</v>
      </c>
      <c r="Q402" s="26" t="str">
        <f>VLOOKUP(B402,辅助信息!E:M,9,FALSE)</f>
        <v>ZTWM-CDGS-XS-2024-0134-商投建工达州中医药科技成果示范园项目</v>
      </c>
      <c r="R402" s="26"/>
    </row>
    <row r="403" hidden="1" spans="2:18">
      <c r="B403" s="40" t="s">
        <v>84</v>
      </c>
      <c r="C403" s="70">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1">
        <v>45705</v>
      </c>
      <c r="N403" s="57"/>
      <c r="O403" s="62">
        <f ca="1" t="shared" si="2"/>
        <v>0</v>
      </c>
      <c r="P403" s="62">
        <f ca="1" t="shared" si="3"/>
        <v>255</v>
      </c>
      <c r="Q403" s="26" t="e">
        <f>VLOOKUP(B403,辅助信息!E:M,9,FALSE)</f>
        <v>#N/A</v>
      </c>
      <c r="R403" s="26"/>
    </row>
    <row r="404" hidden="1" spans="2:18">
      <c r="B404" s="40" t="s">
        <v>84</v>
      </c>
      <c r="C404" s="70">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8"/>
      <c r="M404" s="91">
        <v>45705</v>
      </c>
      <c r="N404" s="57"/>
      <c r="O404" s="62">
        <f ca="1" t="shared" si="2"/>
        <v>0</v>
      </c>
      <c r="P404" s="62">
        <f ca="1" t="shared" si="3"/>
        <v>255</v>
      </c>
      <c r="Q404" s="26" t="e">
        <f>VLOOKUP(B404,辅助信息!E:M,9,FALSE)</f>
        <v>#N/A</v>
      </c>
      <c r="R404" s="26"/>
    </row>
    <row r="405" hidden="1" spans="2:18">
      <c r="B405" s="40" t="s">
        <v>84</v>
      </c>
      <c r="C405" s="70">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6"/>
      <c r="M405" s="91">
        <v>45705</v>
      </c>
      <c r="N405" s="57"/>
      <c r="O405" s="62">
        <f ca="1" t="shared" si="2"/>
        <v>0</v>
      </c>
      <c r="P405" s="62">
        <f ca="1" t="shared" si="3"/>
        <v>255</v>
      </c>
      <c r="Q405" s="26" t="e">
        <f>VLOOKUP(B405,辅助信息!E:M,9,FALSE)</f>
        <v>#N/A</v>
      </c>
      <c r="R405" s="26"/>
    </row>
    <row r="406" hidden="1" spans="1:18">
      <c r="A406" s="71" t="s">
        <v>85</v>
      </c>
      <c r="B406" s="40" t="s">
        <v>75</v>
      </c>
      <c r="C406" s="70">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1">
        <v>45709</v>
      </c>
      <c r="N406" s="57"/>
      <c r="O406" s="62">
        <f ca="1" t="shared" si="2"/>
        <v>0</v>
      </c>
      <c r="P406" s="62">
        <f ca="1" t="shared" si="3"/>
        <v>251</v>
      </c>
      <c r="Q406" s="26" t="e">
        <f>VLOOKUP(B406,辅助信息!E:M,9,FALSE)</f>
        <v>#N/A</v>
      </c>
      <c r="R406" s="26"/>
    </row>
    <row r="407" hidden="1" spans="2:18">
      <c r="B407" s="40" t="s">
        <v>75</v>
      </c>
      <c r="C407" s="70">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8"/>
      <c r="M407" s="91">
        <v>45709</v>
      </c>
      <c r="N407" s="57"/>
      <c r="O407" s="62">
        <f ca="1" t="shared" si="2"/>
        <v>0</v>
      </c>
      <c r="P407" s="62">
        <f ca="1" t="shared" si="3"/>
        <v>251</v>
      </c>
      <c r="Q407" s="26" t="e">
        <f>VLOOKUP(B407,辅助信息!E:M,9,FALSE)</f>
        <v>#N/A</v>
      </c>
      <c r="R407" s="26"/>
    </row>
    <row r="408" hidden="1" spans="2:18">
      <c r="B408" s="40" t="s">
        <v>75</v>
      </c>
      <c r="C408" s="70">
        <v>45703</v>
      </c>
      <c r="D408" s="40" t="e">
        <f>VLOOKUP(B408,辅助信息!E:K,7,FALSE)</f>
        <v>#N/A</v>
      </c>
      <c r="E408" s="40" t="str">
        <f>VLOOKUP(F408,辅助信息!A:B,2,FALSE)</f>
        <v>螺纹钢</v>
      </c>
      <c r="F408" s="40" t="s">
        <v>65</v>
      </c>
      <c r="G408" s="87">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8"/>
      <c r="M408" s="91">
        <v>45709</v>
      </c>
      <c r="N408" s="57"/>
      <c r="O408" s="62">
        <f ca="1" t="shared" si="2"/>
        <v>0</v>
      </c>
      <c r="P408" s="62">
        <f ca="1" t="shared" si="3"/>
        <v>251</v>
      </c>
      <c r="Q408" s="26" t="e">
        <f>VLOOKUP(B408,辅助信息!E:M,9,FALSE)</f>
        <v>#N/A</v>
      </c>
      <c r="R408" s="26"/>
    </row>
    <row r="409" hidden="1" spans="2:18">
      <c r="B409" s="40" t="s">
        <v>75</v>
      </c>
      <c r="C409" s="70">
        <v>45703</v>
      </c>
      <c r="D409" s="40" t="e">
        <f>VLOOKUP(B409,辅助信息!E:K,7,FALSE)</f>
        <v>#N/A</v>
      </c>
      <c r="E409" s="40" t="str">
        <f>VLOOKUP(F409,辅助信息!A:B,2,FALSE)</f>
        <v>螺纹钢</v>
      </c>
      <c r="F409" s="40" t="s">
        <v>77</v>
      </c>
      <c r="G409" s="87">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8"/>
      <c r="M409" s="91"/>
      <c r="N409" s="57"/>
      <c r="Q409" s="26"/>
      <c r="R409" s="26"/>
    </row>
    <row r="410" hidden="1" spans="2:18">
      <c r="B410" s="40" t="s">
        <v>75</v>
      </c>
      <c r="C410" s="70">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6"/>
      <c r="M410" s="91">
        <v>45709</v>
      </c>
      <c r="N410" s="57"/>
      <c r="O410" s="62">
        <f ca="1" t="shared" ref="O410:O416" si="4">IF(OR(M410="",N410&lt;&gt;""),"",MAX(M410-TODAY(),0))</f>
        <v>0</v>
      </c>
      <c r="P410" s="62">
        <f ca="1" t="shared" ref="P410:P416" si="5">IF(M410="","",IF(N410&lt;&gt;"",MAX(N410-M410,0),IF(TODAY()&gt;M410,TODAY()-M410,0)))</f>
        <v>251</v>
      </c>
      <c r="Q410" s="26" t="e">
        <f>VLOOKUP(B410,辅助信息!E:M,9,FALSE)</f>
        <v>#N/A</v>
      </c>
      <c r="R410" s="26"/>
    </row>
    <row r="411" hidden="1" spans="2:18">
      <c r="B411" s="40" t="s">
        <v>87</v>
      </c>
      <c r="C411" s="70">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1">
        <v>45706</v>
      </c>
      <c r="N411" s="57"/>
      <c r="O411" s="62">
        <f ca="1" t="shared" si="4"/>
        <v>0</v>
      </c>
      <c r="P411" s="62">
        <f ca="1" t="shared" si="5"/>
        <v>254</v>
      </c>
      <c r="Q411" s="26" t="e">
        <f>VLOOKUP(B411,辅助信息!E:M,9,FALSE)</f>
        <v>#N/A</v>
      </c>
      <c r="R411" s="26"/>
    </row>
    <row r="412" hidden="1" spans="2:18">
      <c r="B412" s="40" t="s">
        <v>87</v>
      </c>
      <c r="C412" s="70">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6"/>
      <c r="M412" s="91">
        <v>45706</v>
      </c>
      <c r="N412" s="57"/>
      <c r="O412" s="62">
        <f ca="1" t="shared" si="4"/>
        <v>0</v>
      </c>
      <c r="P412" s="62">
        <f ca="1" t="shared" si="5"/>
        <v>254</v>
      </c>
      <c r="Q412" s="26" t="e">
        <f>VLOOKUP(B412,辅助信息!E:M,9,FALSE)</f>
        <v>#N/A</v>
      </c>
      <c r="R412" s="26"/>
    </row>
    <row r="413" hidden="1" spans="2:18">
      <c r="B413" s="40" t="s">
        <v>74</v>
      </c>
      <c r="C413" s="70">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1">
        <v>45711</v>
      </c>
      <c r="N413" s="57"/>
      <c r="O413" s="62">
        <f ca="1" t="shared" si="4"/>
        <v>0</v>
      </c>
      <c r="P413" s="62">
        <f ca="1" t="shared" si="5"/>
        <v>249</v>
      </c>
      <c r="Q413" s="26" t="e">
        <f>VLOOKUP(B413,辅助信息!E:M,9,FALSE)</f>
        <v>#N/A</v>
      </c>
      <c r="R413" s="26"/>
    </row>
    <row r="414" hidden="1" spans="2:18">
      <c r="B414" s="40" t="s">
        <v>74</v>
      </c>
      <c r="C414" s="70">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8"/>
      <c r="M414" s="91">
        <v>45711</v>
      </c>
      <c r="N414" s="57"/>
      <c r="O414" s="62">
        <f ca="1" t="shared" si="4"/>
        <v>0</v>
      </c>
      <c r="P414" s="62">
        <f ca="1" t="shared" si="5"/>
        <v>249</v>
      </c>
      <c r="Q414" s="26" t="e">
        <f>VLOOKUP(B414,辅助信息!E:M,9,FALSE)</f>
        <v>#N/A</v>
      </c>
      <c r="R414" s="26"/>
    </row>
    <row r="415" hidden="1" spans="2:18">
      <c r="B415" s="40" t="s">
        <v>74</v>
      </c>
      <c r="C415" s="70">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8"/>
      <c r="M415" s="91">
        <v>45711</v>
      </c>
      <c r="N415" s="57"/>
      <c r="O415" s="62">
        <f ca="1" t="shared" si="4"/>
        <v>0</v>
      </c>
      <c r="P415" s="62">
        <f ca="1" t="shared" si="5"/>
        <v>249</v>
      </c>
      <c r="Q415" s="26" t="e">
        <f>VLOOKUP(B415,辅助信息!E:M,9,FALSE)</f>
        <v>#N/A</v>
      </c>
      <c r="R415" s="26"/>
    </row>
    <row r="416" hidden="1" spans="2:18">
      <c r="B416" s="40" t="s">
        <v>74</v>
      </c>
      <c r="C416" s="70">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6"/>
      <c r="M416" s="91">
        <v>45711</v>
      </c>
      <c r="N416" s="57"/>
      <c r="O416" s="62">
        <f ca="1" t="shared" si="4"/>
        <v>0</v>
      </c>
      <c r="P416" s="62">
        <f ca="1" t="shared" si="5"/>
        <v>249</v>
      </c>
      <c r="Q416" s="26" t="e">
        <f>VLOOKUP(B416,辅助信息!E:M,9,FALSE)</f>
        <v>#N/A</v>
      </c>
      <c r="R416" s="26"/>
    </row>
    <row r="417" hidden="1" spans="2:18">
      <c r="B417" s="40" t="s">
        <v>79</v>
      </c>
      <c r="C417" s="70">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79" t="e">
        <f>VLOOKUP(J417,辅助信息!H:I,2,FALSE)</f>
        <v>#N/A</v>
      </c>
      <c r="L417" s="77" t="e">
        <f>VLOOKUP(B417,辅助信息!E:J,6,FALSE)</f>
        <v>#N/A</v>
      </c>
      <c r="M417" s="57"/>
      <c r="N417" s="57"/>
      <c r="O417" s="57"/>
      <c r="P417" s="57"/>
      <c r="Q417" s="26" t="e">
        <f>VLOOKUP(B417,辅助信息!E:M,9,FALSE)</f>
        <v>#N/A</v>
      </c>
      <c r="R417" s="26"/>
    </row>
    <row r="418" hidden="1" spans="2:18">
      <c r="B418" s="40" t="s">
        <v>79</v>
      </c>
      <c r="C418" s="70">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79" t="e">
        <f>VLOOKUP(J418,辅助信息!H:I,2,FALSE)</f>
        <v>#N/A</v>
      </c>
      <c r="L418" s="78"/>
      <c r="M418" s="57"/>
      <c r="N418" s="57"/>
      <c r="O418" s="57"/>
      <c r="P418" s="57"/>
      <c r="Q418" s="26" t="e">
        <f>VLOOKUP(B418,辅助信息!E:M,9,FALSE)</f>
        <v>#N/A</v>
      </c>
      <c r="R418" s="26"/>
    </row>
    <row r="419" hidden="1" spans="2:18">
      <c r="B419" s="40" t="s">
        <v>79</v>
      </c>
      <c r="C419" s="70">
        <v>45703</v>
      </c>
      <c r="D419" s="40" t="e">
        <f>VLOOKUP(B419,辅助信息!E:K,7,FALSE)</f>
        <v>#N/A</v>
      </c>
      <c r="E419" s="40" t="str">
        <f>VLOOKUP(F419,辅助信息!A:B,2,FALSE)</f>
        <v>螺纹钢</v>
      </c>
      <c r="F419" s="40" t="s">
        <v>27</v>
      </c>
      <c r="G419" s="87">
        <v>9</v>
      </c>
      <c r="H419" s="36" t="e">
        <f>_xlfn._xlws.FILTER(#REF!,#REF!&amp;#REF!&amp;#REF!&amp;#REF!=C419&amp;F419&amp;I419&amp;J419,"未发货")</f>
        <v>#REF!</v>
      </c>
      <c r="I419" s="40" t="e">
        <f>VLOOKUP(B419,辅助信息!E:I,3,FALSE)</f>
        <v>#N/A</v>
      </c>
      <c r="J419" s="40" t="e">
        <f>VLOOKUP(B419,辅助信息!E:I,4,FALSE)</f>
        <v>#N/A</v>
      </c>
      <c r="K419" s="79" t="e">
        <f>VLOOKUP(J419,辅助信息!H:I,2,FALSE)</f>
        <v>#N/A</v>
      </c>
      <c r="L419" s="78"/>
      <c r="M419" s="57"/>
      <c r="N419" s="57"/>
      <c r="O419" s="57"/>
      <c r="P419" s="57"/>
      <c r="Q419" s="26" t="e">
        <f>VLOOKUP(B419,辅助信息!E:M,9,FALSE)</f>
        <v>#N/A</v>
      </c>
      <c r="R419" s="26"/>
    </row>
    <row r="420" hidden="1" spans="2:18">
      <c r="B420" s="40" t="s">
        <v>79</v>
      </c>
      <c r="C420" s="70">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79" t="e">
        <f>VLOOKUP(J420,辅助信息!H:I,2,FALSE)</f>
        <v>#N/A</v>
      </c>
      <c r="L420" s="78"/>
      <c r="M420" s="57"/>
      <c r="N420" s="57"/>
      <c r="O420" s="57"/>
      <c r="P420" s="57"/>
      <c r="Q420" s="26" t="e">
        <f>VLOOKUP(B420,辅助信息!E:M,9,FALSE)</f>
        <v>#N/A</v>
      </c>
      <c r="R420" s="26"/>
    </row>
    <row r="421" hidden="1" spans="2:18">
      <c r="B421" s="40" t="s">
        <v>79</v>
      </c>
      <c r="C421" s="70">
        <v>45703</v>
      </c>
      <c r="D421" s="40" t="e">
        <f>VLOOKUP(B421,辅助信息!E:K,7,FALSE)</f>
        <v>#N/A</v>
      </c>
      <c r="E421" s="40" t="str">
        <f>VLOOKUP(F421,辅助信息!A:B,2,FALSE)</f>
        <v>螺纹钢</v>
      </c>
      <c r="F421" s="40" t="s">
        <v>32</v>
      </c>
      <c r="G421" s="87">
        <v>9</v>
      </c>
      <c r="H421" s="36" t="e">
        <f>_xlfn._xlws.FILTER(#REF!,#REF!&amp;#REF!&amp;#REF!&amp;#REF!=C421&amp;F421&amp;I421&amp;J421,"未发货")</f>
        <v>#REF!</v>
      </c>
      <c r="I421" s="40" t="e">
        <f>VLOOKUP(B421,辅助信息!E:I,3,FALSE)</f>
        <v>#N/A</v>
      </c>
      <c r="J421" s="40" t="e">
        <f>VLOOKUP(B421,辅助信息!E:I,4,FALSE)</f>
        <v>#N/A</v>
      </c>
      <c r="K421" s="79" t="e">
        <f>VLOOKUP(J421,辅助信息!H:I,2,FALSE)</f>
        <v>#N/A</v>
      </c>
      <c r="L421" s="78"/>
      <c r="M421" s="57"/>
      <c r="N421" s="57"/>
      <c r="O421" s="57"/>
      <c r="P421" s="57"/>
      <c r="Q421" s="26" t="e">
        <f>VLOOKUP(B421,辅助信息!E:M,9,FALSE)</f>
        <v>#N/A</v>
      </c>
      <c r="R421" s="26"/>
    </row>
    <row r="422" hidden="1" spans="2:18">
      <c r="B422" s="40" t="s">
        <v>79</v>
      </c>
      <c r="C422" s="70">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79" t="e">
        <f>VLOOKUP(J422,辅助信息!H:I,2,FALSE)</f>
        <v>#N/A</v>
      </c>
      <c r="L422" s="78"/>
      <c r="M422" s="57"/>
      <c r="N422" s="57"/>
      <c r="O422" s="57"/>
      <c r="P422" s="57"/>
      <c r="Q422" s="26" t="e">
        <f>VLOOKUP(B422,辅助信息!E:M,9,FALSE)</f>
        <v>#N/A</v>
      </c>
      <c r="R422" s="26"/>
    </row>
    <row r="423" hidden="1" spans="2:18">
      <c r="B423" s="40" t="s">
        <v>79</v>
      </c>
      <c r="C423" s="70">
        <v>45703</v>
      </c>
      <c r="D423" s="40" t="e">
        <f>VLOOKUP(B423,辅助信息!E:K,7,FALSE)</f>
        <v>#N/A</v>
      </c>
      <c r="E423" s="40" t="str">
        <f>VLOOKUP(F423,辅助信息!A:B,2,FALSE)</f>
        <v>螺纹钢</v>
      </c>
      <c r="F423" s="40" t="s">
        <v>33</v>
      </c>
      <c r="G423" s="87">
        <v>25</v>
      </c>
      <c r="H423" s="36" t="e">
        <f>_xlfn._xlws.FILTER(#REF!,#REF!&amp;#REF!&amp;#REF!&amp;#REF!=C423&amp;F423&amp;I423&amp;J423,"未发货")</f>
        <v>#REF!</v>
      </c>
      <c r="I423" s="40" t="e">
        <f>VLOOKUP(B423,辅助信息!E:I,3,FALSE)</f>
        <v>#N/A</v>
      </c>
      <c r="J423" s="40" t="e">
        <f>VLOOKUP(B423,辅助信息!E:I,4,FALSE)</f>
        <v>#N/A</v>
      </c>
      <c r="K423" s="79" t="e">
        <f>VLOOKUP(J423,辅助信息!H:I,2,FALSE)</f>
        <v>#N/A</v>
      </c>
      <c r="L423" s="78"/>
      <c r="M423" s="57"/>
      <c r="N423" s="57"/>
      <c r="O423" s="57"/>
      <c r="P423" s="57"/>
      <c r="Q423" s="26" t="e">
        <f>VLOOKUP(B423,辅助信息!E:M,9,FALSE)</f>
        <v>#N/A</v>
      </c>
      <c r="R423" s="26"/>
    </row>
    <row r="424" hidden="1" spans="2:18">
      <c r="B424" s="40" t="s">
        <v>79</v>
      </c>
      <c r="C424" s="70">
        <v>45703</v>
      </c>
      <c r="D424" s="40" t="e">
        <f>VLOOKUP(B424,辅助信息!E:K,7,FALSE)</f>
        <v>#N/A</v>
      </c>
      <c r="E424" s="40" t="str">
        <f>VLOOKUP(F424,辅助信息!A:B,2,FALSE)</f>
        <v>螺纹钢</v>
      </c>
      <c r="F424" s="40" t="s">
        <v>18</v>
      </c>
      <c r="G424" s="87">
        <v>90</v>
      </c>
      <c r="H424" s="36" t="e">
        <f>_xlfn._xlws.FILTER(#REF!,#REF!&amp;#REF!&amp;#REF!&amp;#REF!=C424&amp;F424&amp;I424&amp;J424,"未发货")</f>
        <v>#REF!</v>
      </c>
      <c r="I424" s="40" t="e">
        <f>VLOOKUP(B424,辅助信息!E:I,3,FALSE)</f>
        <v>#N/A</v>
      </c>
      <c r="J424" s="40" t="e">
        <f>VLOOKUP(B424,辅助信息!E:I,4,FALSE)</f>
        <v>#N/A</v>
      </c>
      <c r="K424" s="79" t="e">
        <f>VLOOKUP(J424,辅助信息!H:I,2,FALSE)</f>
        <v>#N/A</v>
      </c>
      <c r="L424" s="76"/>
      <c r="M424" s="57"/>
      <c r="N424" s="57"/>
      <c r="O424" s="57"/>
      <c r="P424" s="57"/>
      <c r="Q424" s="26" t="e">
        <f>VLOOKUP(B424,辅助信息!E:M,9,FALSE)</f>
        <v>#N/A</v>
      </c>
      <c r="R424" s="26"/>
    </row>
    <row r="425" s="26" customFormat="1" hidden="1" spans="2:17">
      <c r="B425" s="40" t="s">
        <v>80</v>
      </c>
      <c r="C425" s="70">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5">
        <v>45703</v>
      </c>
      <c r="N425" s="95"/>
      <c r="O425" s="26">
        <f ca="1" t="shared" ref="O425:O442" si="6">IF(OR(M425="",N425&lt;&gt;""),"",MAX(M425-TODAY(),0))</f>
        <v>0</v>
      </c>
      <c r="P425" s="26">
        <f ca="1" t="shared" ref="P425:P442" si="7">IF(M425="","",IF(N425&lt;&gt;"",MAX(N425-M425,0),IF(TODAY()&gt;M425,TODAY()-M425,0)))</f>
        <v>257</v>
      </c>
      <c r="Q425" s="26" t="e">
        <f>VLOOKUP(B425,辅助信息!E:M,9,FALSE)</f>
        <v>#N/A</v>
      </c>
    </row>
    <row r="426" s="26" customFormat="1" hidden="1" spans="2:17">
      <c r="B426" s="40" t="s">
        <v>80</v>
      </c>
      <c r="C426" s="70">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5">
        <v>45703</v>
      </c>
      <c r="N426" s="95"/>
      <c r="O426" s="26">
        <f ca="1" t="shared" si="6"/>
        <v>0</v>
      </c>
      <c r="P426" s="26">
        <f ca="1" t="shared" si="7"/>
        <v>257</v>
      </c>
      <c r="Q426" s="26" t="e">
        <f>VLOOKUP(B426,辅助信息!E:M,9,FALSE)</f>
        <v>#N/A</v>
      </c>
    </row>
    <row r="427" s="26" customFormat="1" hidden="1" spans="2:17">
      <c r="B427" s="40" t="s">
        <v>80</v>
      </c>
      <c r="C427" s="70">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5">
        <v>45703</v>
      </c>
      <c r="N427" s="95"/>
      <c r="O427" s="26">
        <f ca="1" t="shared" si="6"/>
        <v>0</v>
      </c>
      <c r="P427" s="26">
        <f ca="1" t="shared" si="7"/>
        <v>257</v>
      </c>
      <c r="Q427" s="26" t="e">
        <f>VLOOKUP(B427,辅助信息!E:M,9,FALSE)</f>
        <v>#N/A</v>
      </c>
    </row>
    <row r="428" s="26" customFormat="1" hidden="1" spans="2:17">
      <c r="B428" s="40" t="s">
        <v>64</v>
      </c>
      <c r="C428" s="70">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5">
        <v>45704</v>
      </c>
      <c r="O428" s="26">
        <f ca="1" t="shared" si="6"/>
        <v>0</v>
      </c>
      <c r="P428" s="26">
        <f ca="1" t="shared" si="7"/>
        <v>256</v>
      </c>
      <c r="Q428" s="26" t="e">
        <f>VLOOKUP(B428,辅助信息!E:M,9,FALSE)</f>
        <v>#N/A</v>
      </c>
    </row>
    <row r="429" s="26" customFormat="1" hidden="1" spans="2:17">
      <c r="B429" s="40" t="s">
        <v>64</v>
      </c>
      <c r="C429" s="70">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5">
        <v>45704</v>
      </c>
      <c r="O429" s="26">
        <f ca="1" t="shared" si="6"/>
        <v>0</v>
      </c>
      <c r="P429" s="26">
        <f ca="1" t="shared" si="7"/>
        <v>256</v>
      </c>
      <c r="Q429" s="26" t="e">
        <f>VLOOKUP(B429,辅助信息!E:M,9,FALSE)</f>
        <v>#N/A</v>
      </c>
    </row>
    <row r="430" s="26" customFormat="1" hidden="1" spans="2:17">
      <c r="B430" s="40" t="s">
        <v>48</v>
      </c>
      <c r="C430" s="70">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5">
        <v>45705</v>
      </c>
      <c r="O430" s="26">
        <f ca="1" t="shared" si="6"/>
        <v>0</v>
      </c>
      <c r="P430" s="26">
        <f ca="1" t="shared" si="7"/>
        <v>255</v>
      </c>
      <c r="Q430" s="26" t="str">
        <f>VLOOKUP(B430,辅助信息!E:M,9,FALSE)</f>
        <v>ZTWM-CDGS-XS-2024-0093-华西-颐海科创农业生态谷</v>
      </c>
    </row>
    <row r="431" s="26" customFormat="1" hidden="1" spans="2:17">
      <c r="B431" s="40" t="s">
        <v>29</v>
      </c>
      <c r="C431" s="70">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5">
        <v>45705</v>
      </c>
      <c r="O431" s="26">
        <f ca="1" t="shared" si="6"/>
        <v>0</v>
      </c>
      <c r="P431" s="26">
        <f ca="1" t="shared" si="7"/>
        <v>255</v>
      </c>
      <c r="Q431" s="26" t="e">
        <f>VLOOKUP(B431,辅助信息!E:M,9,FALSE)</f>
        <v>#N/A</v>
      </c>
    </row>
    <row r="432" s="26" customFormat="1" hidden="1" spans="2:17">
      <c r="B432" s="40" t="s">
        <v>29</v>
      </c>
      <c r="C432" s="70">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5">
        <v>45705</v>
      </c>
      <c r="O432" s="26">
        <f ca="1" t="shared" si="6"/>
        <v>0</v>
      </c>
      <c r="P432" s="26">
        <f ca="1" t="shared" si="7"/>
        <v>255</v>
      </c>
      <c r="Q432" s="26" t="e">
        <f>VLOOKUP(B432,辅助信息!E:M,9,FALSE)</f>
        <v>#N/A</v>
      </c>
    </row>
    <row r="433" s="26" customFormat="1" hidden="1" spans="2:17">
      <c r="B433" s="40" t="s">
        <v>29</v>
      </c>
      <c r="C433" s="70">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5">
        <v>45705</v>
      </c>
      <c r="O433" s="26">
        <f ca="1" t="shared" si="6"/>
        <v>0</v>
      </c>
      <c r="P433" s="26">
        <f ca="1" t="shared" si="7"/>
        <v>255</v>
      </c>
      <c r="Q433" s="26" t="e">
        <f>VLOOKUP(B433,辅助信息!E:M,9,FALSE)</f>
        <v>#N/A</v>
      </c>
    </row>
    <row r="434" s="26" customFormat="1" hidden="1" spans="2:17">
      <c r="B434" s="40" t="s">
        <v>78</v>
      </c>
      <c r="C434" s="70">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5">
        <v>45705</v>
      </c>
      <c r="O434" s="26">
        <f ca="1" t="shared" si="6"/>
        <v>0</v>
      </c>
      <c r="P434" s="26">
        <f ca="1" t="shared" si="7"/>
        <v>255</v>
      </c>
      <c r="Q434" s="26" t="e">
        <f>VLOOKUP(B434,辅助信息!E:M,9,FALSE)</f>
        <v>#N/A</v>
      </c>
    </row>
    <row r="435" s="26" customFormat="1" hidden="1" spans="2:17">
      <c r="B435" s="40" t="s">
        <v>69</v>
      </c>
      <c r="C435" s="70">
        <v>45704</v>
      </c>
      <c r="D435" s="40" t="str">
        <f>VLOOKUP(B435,辅助信息!E:K,7,FALSE)</f>
        <v>JWDDCD2025052800131</v>
      </c>
      <c r="E435" s="40" t="str">
        <f>VLOOKUP(F435,辅助信息!A:B,2,FALSE)</f>
        <v>盘螺</v>
      </c>
      <c r="F435" s="40" t="s">
        <v>40</v>
      </c>
      <c r="G435" s="97">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5">
        <v>45704</v>
      </c>
      <c r="O435" s="26">
        <f ca="1" t="shared" si="6"/>
        <v>0</v>
      </c>
      <c r="P435" s="26">
        <f ca="1" t="shared" si="7"/>
        <v>256</v>
      </c>
      <c r="Q435" s="26" t="str">
        <f>VLOOKUP(B435,辅助信息!E:M,9,FALSE)</f>
        <v>ZTWM-CDGS-XS-2024-0134-商投建工达州中医药科技成果示范园项目</v>
      </c>
    </row>
    <row r="436" s="26" customFormat="1" hidden="1" spans="2:17">
      <c r="B436" s="40" t="s">
        <v>69</v>
      </c>
      <c r="C436" s="70">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5">
        <v>45704</v>
      </c>
      <c r="O436" s="26">
        <f ca="1" t="shared" si="6"/>
        <v>0</v>
      </c>
      <c r="P436" s="26">
        <f ca="1" t="shared" si="7"/>
        <v>256</v>
      </c>
      <c r="Q436" s="26" t="str">
        <f>VLOOKUP(B436,辅助信息!E:M,9,FALSE)</f>
        <v>ZTWM-CDGS-XS-2024-0134-商投建工达州中医药科技成果示范园项目</v>
      </c>
    </row>
    <row r="437" s="26" customFormat="1" hidden="1" spans="2:17">
      <c r="B437" s="40" t="s">
        <v>69</v>
      </c>
      <c r="C437" s="70">
        <v>45704</v>
      </c>
      <c r="D437" s="40" t="str">
        <f>VLOOKUP(B437,辅助信息!E:K,7,FALSE)</f>
        <v>JWDDCD2025052800131</v>
      </c>
      <c r="E437" s="40" t="str">
        <f>VLOOKUP(F437,辅助信息!A:B,2,FALSE)</f>
        <v>螺纹钢</v>
      </c>
      <c r="F437" s="97"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5">
        <v>45704</v>
      </c>
      <c r="O437" s="26">
        <f ca="1" t="shared" si="6"/>
        <v>0</v>
      </c>
      <c r="P437" s="26">
        <f ca="1" t="shared" si="7"/>
        <v>256</v>
      </c>
      <c r="Q437" s="26" t="str">
        <f>VLOOKUP(B437,辅助信息!E:M,9,FALSE)</f>
        <v>ZTWM-CDGS-XS-2024-0134-商投建工达州中医药科技成果示范园项目</v>
      </c>
    </row>
    <row r="438" s="26" customFormat="1" hidden="1" spans="2:17">
      <c r="B438" s="40" t="s">
        <v>69</v>
      </c>
      <c r="C438" s="70">
        <v>45704</v>
      </c>
      <c r="D438" s="40" t="str">
        <f>VLOOKUP(B438,辅助信息!E:K,7,FALSE)</f>
        <v>JWDDCD2025052800131</v>
      </c>
      <c r="E438" s="40" t="str">
        <f>VLOOKUP(F438,辅助信息!A:B,2,FALSE)</f>
        <v>螺纹钢</v>
      </c>
      <c r="F438" s="97"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5">
        <v>45704</v>
      </c>
      <c r="O438" s="26">
        <f ca="1" t="shared" si="6"/>
        <v>0</v>
      </c>
      <c r="P438" s="26">
        <f ca="1" t="shared" si="7"/>
        <v>256</v>
      </c>
      <c r="Q438" s="26" t="str">
        <f>VLOOKUP(B438,辅助信息!E:M,9,FALSE)</f>
        <v>ZTWM-CDGS-XS-2024-0134-商投建工达州中医药科技成果示范园项目</v>
      </c>
    </row>
    <row r="439" s="26" customFormat="1" hidden="1" spans="1:17">
      <c r="A439" s="62"/>
      <c r="B439" s="40" t="s">
        <v>84</v>
      </c>
      <c r="C439" s="70">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2" t="e">
        <f>VLOOKUP(B439,辅助信息!E:J,6,FALSE)</f>
        <v>#N/A</v>
      </c>
      <c r="M439" s="91">
        <v>45705</v>
      </c>
      <c r="N439" s="62"/>
      <c r="O439" s="62">
        <f ca="1" t="shared" si="6"/>
        <v>0</v>
      </c>
      <c r="P439" s="62">
        <f ca="1" t="shared" si="7"/>
        <v>255</v>
      </c>
      <c r="Q439" s="26" t="e">
        <f>VLOOKUP(B439,辅助信息!E:M,9,FALSE)</f>
        <v>#N/A</v>
      </c>
    </row>
    <row r="440" s="26" customFormat="1" hidden="1" spans="1:17">
      <c r="A440" s="62"/>
      <c r="B440" s="40" t="s">
        <v>84</v>
      </c>
      <c r="C440" s="70">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1">
        <v>45705</v>
      </c>
      <c r="N440" s="62"/>
      <c r="O440" s="62">
        <f ca="1" t="shared" si="6"/>
        <v>0</v>
      </c>
      <c r="P440" s="62">
        <f ca="1" t="shared" si="7"/>
        <v>255</v>
      </c>
      <c r="Q440" s="26" t="e">
        <f>VLOOKUP(B440,辅助信息!E:M,9,FALSE)</f>
        <v>#N/A</v>
      </c>
    </row>
    <row r="441" s="26" customFormat="1" hidden="1" spans="1:17">
      <c r="A441" s="62"/>
      <c r="B441" s="40" t="s">
        <v>84</v>
      </c>
      <c r="C441" s="70">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1">
        <v>45705</v>
      </c>
      <c r="N441" s="62"/>
      <c r="O441" s="62">
        <f ca="1" t="shared" si="6"/>
        <v>0</v>
      </c>
      <c r="P441" s="62">
        <f ca="1" t="shared" si="7"/>
        <v>255</v>
      </c>
      <c r="Q441" s="26" t="e">
        <f>VLOOKUP(B441,辅助信息!E:M,9,FALSE)</f>
        <v>#N/A</v>
      </c>
    </row>
    <row r="442" s="26" customFormat="1" hidden="1" spans="1:17">
      <c r="A442" s="62"/>
      <c r="B442" s="40" t="s">
        <v>75</v>
      </c>
      <c r="C442" s="70">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2" t="e">
        <f>VLOOKUP(B442,辅助信息!E:J,6,FALSE)</f>
        <v>#N/A</v>
      </c>
      <c r="M442" s="91">
        <v>45709</v>
      </c>
      <c r="N442" s="62"/>
      <c r="O442" s="62">
        <f ca="1" t="shared" si="6"/>
        <v>0</v>
      </c>
      <c r="P442" s="62">
        <f ca="1" t="shared" si="7"/>
        <v>251</v>
      </c>
      <c r="Q442" s="26" t="e">
        <f>VLOOKUP(B442,辅助信息!E:M,9,FALSE)</f>
        <v>#N/A</v>
      </c>
    </row>
    <row r="443" s="26" customFormat="1" hidden="1" spans="1:16">
      <c r="A443" s="62"/>
      <c r="B443" s="40" t="s">
        <v>75</v>
      </c>
      <c r="C443" s="70">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1"/>
      <c r="N443" s="62"/>
      <c r="O443" s="62"/>
      <c r="P443" s="62"/>
    </row>
    <row r="444" s="26" customFormat="1" hidden="1" spans="1:17">
      <c r="A444" s="62"/>
      <c r="B444" s="40" t="s">
        <v>87</v>
      </c>
      <c r="C444" s="70">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2" t="e">
        <f>VLOOKUP(B444,辅助信息!E:J,6,FALSE)</f>
        <v>#N/A</v>
      </c>
      <c r="M444" s="91">
        <v>45706</v>
      </c>
      <c r="N444" s="62"/>
      <c r="O444" s="62">
        <f ca="1" t="shared" ref="O444:O463" si="8">IF(OR(M444="",N444&lt;&gt;""),"",MAX(M444-TODAY(),0))</f>
        <v>0</v>
      </c>
      <c r="P444" s="62">
        <f ca="1" t="shared" ref="P444:P463" si="9">IF(M444="","",IF(N444&lt;&gt;"",MAX(N444-M444,0),IF(TODAY()&gt;M444,TODAY()-M444,0)))</f>
        <v>254</v>
      </c>
      <c r="Q444" s="26" t="e">
        <f>VLOOKUP(B444,辅助信息!E:M,9,FALSE)</f>
        <v>#N/A</v>
      </c>
    </row>
    <row r="445" s="26" customFormat="1" hidden="1" spans="1:17">
      <c r="A445" s="62"/>
      <c r="B445" s="40" t="s">
        <v>87</v>
      </c>
      <c r="C445" s="70">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1">
        <v>45706</v>
      </c>
      <c r="N445" s="62"/>
      <c r="O445" s="62">
        <f ca="1" t="shared" si="8"/>
        <v>0</v>
      </c>
      <c r="P445" s="62">
        <f ca="1" t="shared" si="9"/>
        <v>254</v>
      </c>
      <c r="Q445" s="26" t="e">
        <f>VLOOKUP(B445,辅助信息!E:M,9,FALSE)</f>
        <v>#N/A</v>
      </c>
    </row>
    <row r="446" s="26" customFormat="1" hidden="1" spans="1:17">
      <c r="A446" s="62"/>
      <c r="B446" s="40" t="s">
        <v>74</v>
      </c>
      <c r="C446" s="70">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2" t="e">
        <f>VLOOKUP(B446,辅助信息!E:J,6,FALSE)</f>
        <v>#N/A</v>
      </c>
      <c r="M446" s="91">
        <v>45711</v>
      </c>
      <c r="N446" s="62"/>
      <c r="O446" s="62">
        <f ca="1" t="shared" si="8"/>
        <v>0</v>
      </c>
      <c r="P446" s="62">
        <f ca="1" t="shared" si="9"/>
        <v>249</v>
      </c>
      <c r="Q446" s="26" t="e">
        <f>VLOOKUP(B446,辅助信息!E:M,9,FALSE)</f>
        <v>#N/A</v>
      </c>
    </row>
    <row r="447" s="26" customFormat="1" hidden="1" spans="1:17">
      <c r="A447" s="62"/>
      <c r="B447" s="40" t="s">
        <v>74</v>
      </c>
      <c r="C447" s="70">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1">
        <v>45711</v>
      </c>
      <c r="N447" s="62"/>
      <c r="O447" s="62">
        <f ca="1" t="shared" si="8"/>
        <v>0</v>
      </c>
      <c r="P447" s="62">
        <f ca="1" t="shared" si="9"/>
        <v>249</v>
      </c>
      <c r="Q447" s="26" t="e">
        <f>VLOOKUP(B447,辅助信息!E:M,9,FALSE)</f>
        <v>#N/A</v>
      </c>
    </row>
    <row r="448" s="26" customFormat="1" hidden="1" spans="1:17">
      <c r="A448" s="62"/>
      <c r="B448" s="40" t="s">
        <v>74</v>
      </c>
      <c r="C448" s="70">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1">
        <v>45711</v>
      </c>
      <c r="N448" s="62"/>
      <c r="O448" s="62">
        <f ca="1" t="shared" si="8"/>
        <v>0</v>
      </c>
      <c r="P448" s="62">
        <f ca="1" t="shared" si="9"/>
        <v>249</v>
      </c>
      <c r="Q448" s="26" t="e">
        <f>VLOOKUP(B448,辅助信息!E:M,9,FALSE)</f>
        <v>#N/A</v>
      </c>
    </row>
    <row r="449" hidden="1" spans="1:18">
      <c r="A449" s="62"/>
      <c r="B449" s="40" t="s">
        <v>74</v>
      </c>
      <c r="C449" s="70">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1">
        <v>45711</v>
      </c>
      <c r="O449" s="62">
        <f ca="1" t="shared" si="8"/>
        <v>0</v>
      </c>
      <c r="P449" s="62">
        <f ca="1" t="shared" si="9"/>
        <v>249</v>
      </c>
      <c r="Q449" s="26" t="e">
        <f>VLOOKUP(B449,辅助信息!E:M,9,FALSE)</f>
        <v>#N/A</v>
      </c>
      <c r="R449" s="26"/>
    </row>
    <row r="450" hidden="1" spans="1:18">
      <c r="A450" s="62"/>
      <c r="B450" s="40" t="s">
        <v>79</v>
      </c>
      <c r="C450" s="70">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2" t="e">
        <f>VLOOKUP(B450,辅助信息!E:J,6,FALSE)</f>
        <v>#N/A</v>
      </c>
      <c r="O450" s="62" t="str">
        <f ca="1" t="shared" si="8"/>
        <v/>
      </c>
      <c r="P450" s="62" t="str">
        <f ca="1" t="shared" si="9"/>
        <v/>
      </c>
      <c r="Q450" s="26" t="e">
        <f>VLOOKUP(B450,辅助信息!E:M,9,FALSE)</f>
        <v>#N/A</v>
      </c>
      <c r="R450" s="26"/>
    </row>
    <row r="451" hidden="1" spans="1:18">
      <c r="A451" s="62"/>
      <c r="B451" s="40" t="s">
        <v>79</v>
      </c>
      <c r="C451" s="70">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2" t="str">
        <f ca="1" t="shared" si="8"/>
        <v/>
      </c>
      <c r="P451" s="62" t="str">
        <f ca="1" t="shared" si="9"/>
        <v/>
      </c>
      <c r="Q451" s="26" t="e">
        <f>VLOOKUP(B451,辅助信息!E:M,9,FALSE)</f>
        <v>#N/A</v>
      </c>
      <c r="R451" s="26"/>
    </row>
    <row r="452" hidden="1" spans="1:18">
      <c r="A452" s="62"/>
      <c r="B452" s="40" t="s">
        <v>79</v>
      </c>
      <c r="C452" s="70">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2" t="str">
        <f ca="1" t="shared" si="8"/>
        <v/>
      </c>
      <c r="P452" s="62" t="str">
        <f ca="1" t="shared" si="9"/>
        <v/>
      </c>
      <c r="Q452" s="26" t="e">
        <f>VLOOKUP(B452,辅助信息!E:M,9,FALSE)</f>
        <v>#N/A</v>
      </c>
      <c r="R452" s="26"/>
    </row>
    <row r="453" hidden="1" spans="1:18">
      <c r="A453" s="62"/>
      <c r="B453" s="40" t="s">
        <v>79</v>
      </c>
      <c r="C453" s="70">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2" t="str">
        <f ca="1" t="shared" si="8"/>
        <v/>
      </c>
      <c r="P453" s="62" t="str">
        <f ca="1" t="shared" si="9"/>
        <v/>
      </c>
      <c r="Q453" s="26" t="e">
        <f>VLOOKUP(B453,辅助信息!E:M,9,FALSE)</f>
        <v>#N/A</v>
      </c>
      <c r="R453" s="26"/>
    </row>
    <row r="454" hidden="1" spans="1:18">
      <c r="A454" s="62"/>
      <c r="B454" s="40" t="s">
        <v>79</v>
      </c>
      <c r="C454" s="70">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2" t="str">
        <f ca="1" t="shared" si="8"/>
        <v/>
      </c>
      <c r="P454" s="62" t="str">
        <f ca="1" t="shared" si="9"/>
        <v/>
      </c>
      <c r="Q454" s="26" t="e">
        <f>VLOOKUP(B454,辅助信息!E:M,9,FALSE)</f>
        <v>#N/A</v>
      </c>
      <c r="R454" s="26"/>
    </row>
    <row r="455" hidden="1" spans="1:18">
      <c r="A455" s="62"/>
      <c r="B455" s="40" t="s">
        <v>79</v>
      </c>
      <c r="C455" s="70">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2" t="str">
        <f ca="1" t="shared" si="8"/>
        <v/>
      </c>
      <c r="P455" s="62" t="str">
        <f ca="1" t="shared" si="9"/>
        <v/>
      </c>
      <c r="Q455" s="26" t="e">
        <f>VLOOKUP(B455,辅助信息!E:M,9,FALSE)</f>
        <v>#N/A</v>
      </c>
      <c r="R455" s="26"/>
    </row>
    <row r="456" hidden="1" spans="1:18">
      <c r="A456" s="62"/>
      <c r="B456" s="40" t="s">
        <v>79</v>
      </c>
      <c r="C456" s="70">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2" t="str">
        <f ca="1" t="shared" si="8"/>
        <v/>
      </c>
      <c r="P456" s="62" t="str">
        <f ca="1" t="shared" si="9"/>
        <v/>
      </c>
      <c r="Q456" s="26" t="e">
        <f>VLOOKUP(B456,辅助信息!E:M,9,FALSE)</f>
        <v>#N/A</v>
      </c>
      <c r="R456" s="26"/>
    </row>
    <row r="457" hidden="1" spans="1:18">
      <c r="A457" s="62"/>
      <c r="B457" s="40" t="s">
        <v>79</v>
      </c>
      <c r="C457" s="70">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2" t="str">
        <f ca="1" t="shared" si="8"/>
        <v/>
      </c>
      <c r="P457" s="62" t="str">
        <f ca="1" t="shared" si="9"/>
        <v/>
      </c>
      <c r="Q457" s="26" t="e">
        <f>VLOOKUP(B457,辅助信息!E:M,9,FALSE)</f>
        <v>#N/A</v>
      </c>
      <c r="R457" s="26"/>
    </row>
    <row r="458" hidden="1" spans="2:18">
      <c r="B458" s="40" t="s">
        <v>68</v>
      </c>
      <c r="C458" s="70">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2" t="str">
        <f>VLOOKUP(B458,辅助信息!E:J,6,FALSE)</f>
        <v>控制炉批号！多了现场不收！,优先安排达钢,提前联系到场规格及数量</v>
      </c>
      <c r="M458" s="91">
        <v>45706</v>
      </c>
      <c r="N458" s="57"/>
      <c r="O458" s="62">
        <f ca="1" t="shared" si="8"/>
        <v>0</v>
      </c>
      <c r="P458" s="62">
        <f ca="1" t="shared" si="9"/>
        <v>254</v>
      </c>
      <c r="Q458" s="26" t="str">
        <f>VLOOKUP(B458,辅助信息!E:M,9,FALSE)</f>
        <v>ZTWM-CDGS-XS-2024-0134-商投建工达州中医药科技成果示范园项目</v>
      </c>
      <c r="R458" s="26"/>
    </row>
    <row r="459" hidden="1" spans="2:18">
      <c r="B459" s="40" t="s">
        <v>68</v>
      </c>
      <c r="C459" s="70">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1">
        <v>45706</v>
      </c>
      <c r="N459" s="57"/>
      <c r="O459" s="62">
        <f ca="1" t="shared" si="8"/>
        <v>0</v>
      </c>
      <c r="P459" s="62">
        <f ca="1" t="shared" si="9"/>
        <v>254</v>
      </c>
      <c r="Q459" s="26" t="str">
        <f>VLOOKUP(B459,辅助信息!E:M,9,FALSE)</f>
        <v>ZTWM-CDGS-XS-2024-0134-商投建工达州中医药科技成果示范园项目</v>
      </c>
      <c r="R459" s="26"/>
    </row>
    <row r="460" hidden="1" spans="2:18">
      <c r="B460" s="40" t="s">
        <v>68</v>
      </c>
      <c r="C460" s="70">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1">
        <v>45706</v>
      </c>
      <c r="N460" s="57"/>
      <c r="O460" s="62">
        <f ca="1" t="shared" si="8"/>
        <v>0</v>
      </c>
      <c r="P460" s="62">
        <f ca="1" t="shared" si="9"/>
        <v>254</v>
      </c>
      <c r="Q460" s="26" t="str">
        <f>VLOOKUP(B460,辅助信息!E:M,9,FALSE)</f>
        <v>ZTWM-CDGS-XS-2024-0134-商投建工达州中医药科技成果示范园项目</v>
      </c>
      <c r="R460" s="26"/>
    </row>
    <row r="461" hidden="1" spans="2:18">
      <c r="B461" s="83" t="s">
        <v>68</v>
      </c>
      <c r="C461" s="84">
        <v>45704</v>
      </c>
      <c r="D461" s="83" t="str">
        <f>VLOOKUP(B461,辅助信息!E:K,7,FALSE)</f>
        <v>JWDDCD2025052800131</v>
      </c>
      <c r="E461" s="83" t="str">
        <f>VLOOKUP(F461,辅助信息!A:B,2,FALSE)</f>
        <v>螺纹钢</v>
      </c>
      <c r="F461" s="83" t="s">
        <v>65</v>
      </c>
      <c r="G461" s="85">
        <v>15</v>
      </c>
      <c r="H461" s="85" t="e">
        <f>_xlfn._xlws.FILTER(#REF!,#REF!&amp;#REF!&amp;#REF!&amp;#REF!=C461&amp;F461&amp;I461&amp;J461,"未发货")</f>
        <v>#REF!</v>
      </c>
      <c r="I461" s="83" t="str">
        <f>VLOOKUP(B461,辅助信息!E:I,3,FALSE)</f>
        <v>（商投建工达州中医药科技园-2工区-景观桥）达州市通川区达州中医药职业学院犀牛大道北段</v>
      </c>
      <c r="J461" s="83" t="str">
        <f>VLOOKUP(B461,辅助信息!E:I,4,FALSE)</f>
        <v>李波</v>
      </c>
      <c r="K461" s="83">
        <f>VLOOKUP(J461,辅助信息!H:I,2,FALSE)</f>
        <v>18381899787</v>
      </c>
      <c r="M461" s="91">
        <v>45706</v>
      </c>
      <c r="N461" s="57"/>
      <c r="O461" s="62">
        <f ca="1" t="shared" si="8"/>
        <v>0</v>
      </c>
      <c r="P461" s="62">
        <f ca="1" t="shared" si="9"/>
        <v>254</v>
      </c>
      <c r="Q461" s="26" t="str">
        <f>VLOOKUP(B461,辅助信息!E:M,9,FALSE)</f>
        <v>ZTWM-CDGS-XS-2024-0134-商投建工达州中医药科技成果示范园项目</v>
      </c>
      <c r="R461" s="26"/>
    </row>
    <row r="462" hidden="1" spans="1:18">
      <c r="A462" s="26"/>
      <c r="B462" s="40" t="s">
        <v>80</v>
      </c>
      <c r="C462" s="70">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5">
        <v>45703</v>
      </c>
      <c r="N462" s="95"/>
      <c r="O462" s="26">
        <f ca="1" t="shared" si="8"/>
        <v>0</v>
      </c>
      <c r="P462" s="26">
        <f ca="1" t="shared" si="9"/>
        <v>257</v>
      </c>
      <c r="Q462" s="26" t="e">
        <f>VLOOKUP(B462,辅助信息!E:M,9,FALSE)</f>
        <v>#N/A</v>
      </c>
      <c r="R462" s="26"/>
    </row>
    <row r="463" hidden="1" spans="1:18">
      <c r="A463" s="26"/>
      <c r="B463" s="40" t="s">
        <v>80</v>
      </c>
      <c r="C463" s="70">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8"/>
      <c r="M463" s="95">
        <v>45703</v>
      </c>
      <c r="N463" s="95"/>
      <c r="O463" s="26">
        <f ca="1" t="shared" si="8"/>
        <v>0</v>
      </c>
      <c r="P463" s="26">
        <f ca="1" t="shared" si="9"/>
        <v>257</v>
      </c>
      <c r="Q463" s="26" t="e">
        <f>VLOOKUP(B463,辅助信息!E:M,9,FALSE)</f>
        <v>#N/A</v>
      </c>
      <c r="R463" s="26"/>
    </row>
    <row r="464" hidden="1" spans="1:18">
      <c r="A464" s="26"/>
      <c r="B464" s="40" t="s">
        <v>80</v>
      </c>
      <c r="C464" s="70">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8"/>
      <c r="M464" s="95"/>
      <c r="N464" s="95"/>
      <c r="O464" s="26"/>
      <c r="P464" s="26"/>
      <c r="Q464" s="26"/>
      <c r="R464" s="26"/>
    </row>
    <row r="465" s="26" customFormat="1" hidden="1" spans="2:14">
      <c r="B465" s="40" t="s">
        <v>80</v>
      </c>
      <c r="C465" s="70">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8"/>
      <c r="M465" s="95"/>
      <c r="N465" s="95"/>
    </row>
    <row r="466" s="26" customFormat="1" hidden="1" spans="2:17">
      <c r="B466" s="40" t="s">
        <v>80</v>
      </c>
      <c r="C466" s="70">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6"/>
      <c r="M466" s="95">
        <v>45703</v>
      </c>
      <c r="N466" s="95"/>
      <c r="O466" s="26">
        <f ca="1" t="shared" ref="O466:O529" si="10">IF(OR(M466="",N466&lt;&gt;""),"",MAX(M466-TODAY(),0))</f>
        <v>0</v>
      </c>
      <c r="P466" s="26">
        <f ca="1" t="shared" ref="P466:P529" si="11">IF(M466="","",IF(N466&lt;&gt;"",MAX(N466-M466,0),IF(TODAY()&gt;M466,TODAY()-M466,0)))</f>
        <v>257</v>
      </c>
      <c r="Q466" s="26" t="e">
        <f>VLOOKUP(B466,辅助信息!E:M,9,FALSE)</f>
        <v>#N/A</v>
      </c>
    </row>
    <row r="467" s="26" customFormat="1" hidden="1" spans="2:17">
      <c r="B467" s="40" t="s">
        <v>48</v>
      </c>
      <c r="C467" s="70">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5">
        <v>45705</v>
      </c>
      <c r="O467" s="26">
        <f ca="1" t="shared" si="10"/>
        <v>0</v>
      </c>
      <c r="P467" s="26">
        <f ca="1" t="shared" si="11"/>
        <v>255</v>
      </c>
      <c r="Q467" s="26" t="str">
        <f>VLOOKUP(B467,辅助信息!E:M,9,FALSE)</f>
        <v>ZTWM-CDGS-XS-2024-0093-华西-颐海科创农业生态谷</v>
      </c>
    </row>
    <row r="468" s="26" customFormat="1" hidden="1" spans="2:17">
      <c r="B468" s="40" t="s">
        <v>29</v>
      </c>
      <c r="C468" s="70">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5">
        <v>45705</v>
      </c>
      <c r="O468" s="26">
        <f ca="1" t="shared" si="10"/>
        <v>0</v>
      </c>
      <c r="P468" s="26">
        <f ca="1" t="shared" si="11"/>
        <v>255</v>
      </c>
      <c r="Q468" s="26" t="e">
        <f>VLOOKUP(B468,辅助信息!E:M,9,FALSE)</f>
        <v>#N/A</v>
      </c>
    </row>
    <row r="469" s="26" customFormat="1" hidden="1" spans="2:17">
      <c r="B469" s="40" t="s">
        <v>29</v>
      </c>
      <c r="C469" s="70">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8"/>
      <c r="M469" s="95">
        <v>45705</v>
      </c>
      <c r="O469" s="26">
        <f ca="1" t="shared" si="10"/>
        <v>0</v>
      </c>
      <c r="P469" s="26">
        <f ca="1" t="shared" si="11"/>
        <v>255</v>
      </c>
      <c r="Q469" s="26" t="e">
        <f>VLOOKUP(B469,辅助信息!E:M,9,FALSE)</f>
        <v>#N/A</v>
      </c>
    </row>
    <row r="470" s="26" customFormat="1" hidden="1" spans="2:17">
      <c r="B470" s="40" t="s">
        <v>29</v>
      </c>
      <c r="C470" s="70">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6"/>
      <c r="M470" s="95">
        <v>45705</v>
      </c>
      <c r="O470" s="26">
        <f ca="1" t="shared" si="10"/>
        <v>0</v>
      </c>
      <c r="P470" s="26">
        <f ca="1" t="shared" si="11"/>
        <v>255</v>
      </c>
      <c r="Q470" s="26" t="e">
        <f>VLOOKUP(B470,辅助信息!E:M,9,FALSE)</f>
        <v>#N/A</v>
      </c>
    </row>
    <row r="471" s="26" customFormat="1" hidden="1" spans="2:17">
      <c r="B471" s="40" t="s">
        <v>78</v>
      </c>
      <c r="C471" s="70">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5">
        <v>45705</v>
      </c>
      <c r="O471" s="26">
        <f ca="1" t="shared" si="10"/>
        <v>0</v>
      </c>
      <c r="P471" s="26">
        <f ca="1" t="shared" si="11"/>
        <v>255</v>
      </c>
      <c r="Q471" s="26" t="e">
        <f>VLOOKUP(B471,辅助信息!E:M,9,FALSE)</f>
        <v>#N/A</v>
      </c>
    </row>
    <row r="472" s="26" customFormat="1" hidden="1" spans="2:17">
      <c r="B472" s="40" t="s">
        <v>69</v>
      </c>
      <c r="C472" s="70">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5">
        <v>45704</v>
      </c>
      <c r="O472" s="26">
        <f ca="1" t="shared" si="10"/>
        <v>0</v>
      </c>
      <c r="P472" s="26">
        <f ca="1" t="shared" si="11"/>
        <v>256</v>
      </c>
      <c r="Q472" s="26" t="str">
        <f>VLOOKUP(B472,辅助信息!E:M,9,FALSE)</f>
        <v>ZTWM-CDGS-XS-2024-0134-商投建工达州中医药科技成果示范园项目</v>
      </c>
    </row>
    <row r="473" s="26" customFormat="1" hidden="1" spans="2:17">
      <c r="B473" s="40" t="s">
        <v>69</v>
      </c>
      <c r="C473" s="70">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8"/>
      <c r="M473" s="95">
        <v>45704</v>
      </c>
      <c r="O473" s="26">
        <f ca="1" t="shared" si="10"/>
        <v>0</v>
      </c>
      <c r="P473" s="26">
        <f ca="1" t="shared" si="11"/>
        <v>256</v>
      </c>
      <c r="Q473" s="26" t="str">
        <f>VLOOKUP(B473,辅助信息!E:M,9,FALSE)</f>
        <v>ZTWM-CDGS-XS-2024-0134-商投建工达州中医药科技成果示范园项目</v>
      </c>
    </row>
    <row r="474" s="26" customFormat="1" hidden="1" spans="2:17">
      <c r="B474" s="40" t="s">
        <v>69</v>
      </c>
      <c r="C474" s="70">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8"/>
      <c r="M474" s="95">
        <v>45704</v>
      </c>
      <c r="O474" s="26">
        <f ca="1" t="shared" si="10"/>
        <v>0</v>
      </c>
      <c r="P474" s="26">
        <f ca="1" t="shared" si="11"/>
        <v>256</v>
      </c>
      <c r="Q474" s="26" t="str">
        <f>VLOOKUP(B474,辅助信息!E:M,9,FALSE)</f>
        <v>ZTWM-CDGS-XS-2024-0134-商投建工达州中医药科技成果示范园项目</v>
      </c>
    </row>
    <row r="475" s="26" customFormat="1" hidden="1" spans="2:17">
      <c r="B475" s="40" t="s">
        <v>69</v>
      </c>
      <c r="C475" s="70">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6"/>
      <c r="M475" s="95">
        <v>45704</v>
      </c>
      <c r="O475" s="26">
        <f ca="1" t="shared" si="10"/>
        <v>0</v>
      </c>
      <c r="P475" s="26">
        <f ca="1" t="shared" si="11"/>
        <v>256</v>
      </c>
      <c r="Q475" s="26" t="str">
        <f>VLOOKUP(B475,辅助信息!E:M,9,FALSE)</f>
        <v>ZTWM-CDGS-XS-2024-0134-商投建工达州中医药科技成果示范园项目</v>
      </c>
    </row>
    <row r="476" s="26" customFormat="1" hidden="1" spans="2:17">
      <c r="B476" s="40" t="s">
        <v>84</v>
      </c>
      <c r="C476" s="70">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5">
        <v>45705</v>
      </c>
      <c r="O476" s="26">
        <f ca="1" t="shared" si="10"/>
        <v>0</v>
      </c>
      <c r="P476" s="26">
        <f ca="1" t="shared" si="11"/>
        <v>255</v>
      </c>
      <c r="Q476" s="26" t="e">
        <f>VLOOKUP(B476,辅助信息!E:M,9,FALSE)</f>
        <v>#N/A</v>
      </c>
    </row>
    <row r="477" s="26" customFormat="1" hidden="1" spans="2:17">
      <c r="B477" s="40" t="s">
        <v>84</v>
      </c>
      <c r="C477" s="70">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8"/>
      <c r="M477" s="95">
        <v>45705</v>
      </c>
      <c r="O477" s="26">
        <f ca="1" t="shared" si="10"/>
        <v>0</v>
      </c>
      <c r="P477" s="26">
        <f ca="1" t="shared" si="11"/>
        <v>255</v>
      </c>
      <c r="Q477" s="26" t="e">
        <f>VLOOKUP(B477,辅助信息!E:M,9,FALSE)</f>
        <v>#N/A</v>
      </c>
    </row>
    <row r="478" s="26" customFormat="1" hidden="1" spans="2:17">
      <c r="B478" s="40" t="s">
        <v>84</v>
      </c>
      <c r="C478" s="70">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6"/>
      <c r="M478" s="95">
        <v>45705</v>
      </c>
      <c r="O478" s="26">
        <f ca="1" t="shared" si="10"/>
        <v>0</v>
      </c>
      <c r="P478" s="26">
        <f ca="1" t="shared" si="11"/>
        <v>255</v>
      </c>
      <c r="Q478" s="26" t="e">
        <f>VLOOKUP(B478,辅助信息!E:M,9,FALSE)</f>
        <v>#N/A</v>
      </c>
    </row>
    <row r="479" s="26" customFormat="1" hidden="1" spans="2:17">
      <c r="B479" s="40" t="s">
        <v>75</v>
      </c>
      <c r="C479" s="70">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5">
        <v>45709</v>
      </c>
      <c r="O479" s="26">
        <f ca="1" t="shared" si="10"/>
        <v>0</v>
      </c>
      <c r="P479" s="26">
        <f ca="1" t="shared" si="11"/>
        <v>251</v>
      </c>
      <c r="Q479" s="26" t="e">
        <f>VLOOKUP(B479,辅助信息!E:M,9,FALSE)</f>
        <v>#N/A</v>
      </c>
    </row>
    <row r="480" s="26" customFormat="1" hidden="1" spans="2:17">
      <c r="B480" s="40" t="s">
        <v>87</v>
      </c>
      <c r="C480" s="70">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5">
        <v>45706</v>
      </c>
      <c r="O480" s="26">
        <f ca="1" t="shared" si="10"/>
        <v>0</v>
      </c>
      <c r="P480" s="26">
        <f ca="1" t="shared" si="11"/>
        <v>254</v>
      </c>
      <c r="Q480" s="26" t="e">
        <f>VLOOKUP(B480,辅助信息!E:M,9,FALSE)</f>
        <v>#N/A</v>
      </c>
    </row>
    <row r="481" hidden="1" spans="1:18">
      <c r="A481" s="26"/>
      <c r="B481" s="40" t="s">
        <v>87</v>
      </c>
      <c r="C481" s="70">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6"/>
      <c r="M481" s="95">
        <v>45706</v>
      </c>
      <c r="N481" s="26"/>
      <c r="O481" s="26">
        <f ca="1" t="shared" si="10"/>
        <v>0</v>
      </c>
      <c r="P481" s="26">
        <f ca="1" t="shared" si="11"/>
        <v>254</v>
      </c>
      <c r="Q481" s="26" t="e">
        <f>VLOOKUP(B481,辅助信息!E:M,9,FALSE)</f>
        <v>#N/A</v>
      </c>
      <c r="R481" s="26"/>
    </row>
    <row r="482" hidden="1" spans="1:18">
      <c r="A482" s="26"/>
      <c r="B482" s="40" t="s">
        <v>74</v>
      </c>
      <c r="C482" s="70">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5">
        <v>45711</v>
      </c>
      <c r="N482" s="26"/>
      <c r="O482" s="26">
        <f ca="1" t="shared" si="10"/>
        <v>0</v>
      </c>
      <c r="P482" s="26">
        <f ca="1" t="shared" si="11"/>
        <v>249</v>
      </c>
      <c r="Q482" s="26" t="e">
        <f>VLOOKUP(B482,辅助信息!E:M,9,FALSE)</f>
        <v>#N/A</v>
      </c>
      <c r="R482" s="26"/>
    </row>
    <row r="483" hidden="1" spans="1:18">
      <c r="A483" s="26"/>
      <c r="B483" s="40" t="s">
        <v>74</v>
      </c>
      <c r="C483" s="70">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8"/>
      <c r="M483" s="95">
        <v>45711</v>
      </c>
      <c r="N483" s="26"/>
      <c r="O483" s="26">
        <f ca="1" t="shared" si="10"/>
        <v>0</v>
      </c>
      <c r="P483" s="26">
        <f ca="1" t="shared" si="11"/>
        <v>249</v>
      </c>
      <c r="Q483" s="26" t="e">
        <f>VLOOKUP(B483,辅助信息!E:M,9,FALSE)</f>
        <v>#N/A</v>
      </c>
      <c r="R483" s="26"/>
    </row>
    <row r="484" hidden="1" spans="1:18">
      <c r="A484" s="26"/>
      <c r="B484" s="40" t="s">
        <v>74</v>
      </c>
      <c r="C484" s="70">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8"/>
      <c r="M484" s="95">
        <v>45711</v>
      </c>
      <c r="N484" s="26"/>
      <c r="O484" s="26">
        <f ca="1" t="shared" si="10"/>
        <v>0</v>
      </c>
      <c r="P484" s="26">
        <f ca="1" t="shared" si="11"/>
        <v>249</v>
      </c>
      <c r="Q484" s="26" t="e">
        <f>VLOOKUP(B484,辅助信息!E:M,9,FALSE)</f>
        <v>#N/A</v>
      </c>
      <c r="R484" s="26"/>
    </row>
    <row r="485" hidden="1" spans="1:18">
      <c r="A485" s="26"/>
      <c r="B485" s="40" t="s">
        <v>74</v>
      </c>
      <c r="C485" s="70">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6"/>
      <c r="M485" s="95">
        <v>45711</v>
      </c>
      <c r="N485" s="26"/>
      <c r="O485" s="26">
        <f ca="1" t="shared" si="10"/>
        <v>0</v>
      </c>
      <c r="P485" s="26">
        <f ca="1" t="shared" si="11"/>
        <v>249</v>
      </c>
      <c r="Q485" s="26" t="e">
        <f>VLOOKUP(B485,辅助信息!E:M,9,FALSE)</f>
        <v>#N/A</v>
      </c>
      <c r="R485" s="26"/>
    </row>
    <row r="486" hidden="1" spans="1:18">
      <c r="A486" s="26"/>
      <c r="B486" s="40" t="s">
        <v>79</v>
      </c>
      <c r="C486" s="70">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0">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8"/>
      <c r="M487" s="26"/>
      <c r="N487" s="26"/>
      <c r="O487" s="26" t="str">
        <f ca="1" t="shared" si="10"/>
        <v/>
      </c>
      <c r="P487" s="26" t="str">
        <f ca="1" t="shared" si="11"/>
        <v/>
      </c>
      <c r="Q487" s="26" t="e">
        <f>VLOOKUP(B487,辅助信息!E:M,9,FALSE)</f>
        <v>#N/A</v>
      </c>
      <c r="R487" s="26"/>
    </row>
    <row r="488" hidden="1" spans="1:18">
      <c r="A488" s="26"/>
      <c r="B488" s="40" t="s">
        <v>79</v>
      </c>
      <c r="C488" s="70">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6"/>
      <c r="M488" s="26"/>
      <c r="N488" s="26"/>
      <c r="O488" s="26" t="str">
        <f ca="1" t="shared" si="10"/>
        <v/>
      </c>
      <c r="P488" s="26" t="str">
        <f ca="1" t="shared" si="11"/>
        <v/>
      </c>
      <c r="Q488" s="26" t="e">
        <f>VLOOKUP(B488,辅助信息!E:M,9,FALSE)</f>
        <v>#N/A</v>
      </c>
      <c r="R488" s="26"/>
    </row>
    <row r="489" hidden="1" spans="1:18">
      <c r="A489" s="62"/>
      <c r="B489" s="40" t="s">
        <v>68</v>
      </c>
      <c r="C489" s="70">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1">
        <v>45706</v>
      </c>
      <c r="O489" s="62">
        <f ca="1" t="shared" si="10"/>
        <v>0</v>
      </c>
      <c r="P489" s="62">
        <f ca="1" t="shared" si="11"/>
        <v>254</v>
      </c>
      <c r="Q489" s="26" t="str">
        <f>VLOOKUP(B489,辅助信息!E:M,9,FALSE)</f>
        <v>ZTWM-CDGS-XS-2024-0134-商投建工达州中医药科技成果示范园项目</v>
      </c>
      <c r="R489" s="26"/>
    </row>
    <row r="490" hidden="1" spans="1:18">
      <c r="A490" s="62"/>
      <c r="B490" s="40" t="s">
        <v>68</v>
      </c>
      <c r="C490" s="70">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8"/>
      <c r="M490" s="91">
        <v>45706</v>
      </c>
      <c r="O490" s="62">
        <f ca="1" t="shared" si="10"/>
        <v>0</v>
      </c>
      <c r="P490" s="62">
        <f ca="1" t="shared" si="11"/>
        <v>254</v>
      </c>
      <c r="Q490" s="26" t="str">
        <f>VLOOKUP(B490,辅助信息!E:M,9,FALSE)</f>
        <v>ZTWM-CDGS-XS-2024-0134-商投建工达州中医药科技成果示范园项目</v>
      </c>
      <c r="R490" s="26"/>
    </row>
    <row r="491" hidden="1" spans="1:18">
      <c r="A491" s="62"/>
      <c r="B491" s="40" t="s">
        <v>68</v>
      </c>
      <c r="C491" s="70">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8"/>
      <c r="M491" s="91">
        <v>45706</v>
      </c>
      <c r="O491" s="62">
        <f ca="1" t="shared" si="10"/>
        <v>0</v>
      </c>
      <c r="P491" s="62">
        <f ca="1" t="shared" si="11"/>
        <v>254</v>
      </c>
      <c r="Q491" s="26" t="str">
        <f>VLOOKUP(B491,辅助信息!E:M,9,FALSE)</f>
        <v>ZTWM-CDGS-XS-2024-0134-商投建工达州中医药科技成果示范园项目</v>
      </c>
      <c r="R491" s="26"/>
    </row>
    <row r="492" hidden="1" spans="1:18">
      <c r="A492" s="62"/>
      <c r="B492" s="40" t="s">
        <v>68</v>
      </c>
      <c r="C492" s="70">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6"/>
      <c r="M492" s="91">
        <v>45706</v>
      </c>
      <c r="O492" s="62">
        <f ca="1" t="shared" si="10"/>
        <v>0</v>
      </c>
      <c r="P492" s="62">
        <f ca="1" t="shared" si="11"/>
        <v>254</v>
      </c>
      <c r="Q492" s="26" t="str">
        <f>VLOOKUP(B492,辅助信息!E:M,9,FALSE)</f>
        <v>ZTWM-CDGS-XS-2024-0134-商投建工达州中医药科技成果示范园项目</v>
      </c>
      <c r="R492" s="26"/>
    </row>
    <row r="493" hidden="1" spans="2:18">
      <c r="B493" s="40" t="s">
        <v>88</v>
      </c>
      <c r="C493" s="70">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1">
        <v>45706</v>
      </c>
      <c r="O493" s="62">
        <f ca="1" t="shared" si="10"/>
        <v>0</v>
      </c>
      <c r="P493" s="62">
        <f ca="1" t="shared" si="11"/>
        <v>254</v>
      </c>
      <c r="Q493" s="26" t="str">
        <f>VLOOKUP(B493,辅助信息!E:M,9,FALSE)</f>
        <v>ZTWM-CDGS-XS-2024-0248-五冶钢构-南充市医学院项目</v>
      </c>
      <c r="R493" s="26"/>
    </row>
    <row r="494" hidden="1" spans="2:18">
      <c r="B494" s="40" t="s">
        <v>88</v>
      </c>
      <c r="C494" s="70">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8"/>
      <c r="M494" s="91">
        <v>45706</v>
      </c>
      <c r="O494" s="62">
        <f ca="1" t="shared" si="10"/>
        <v>0</v>
      </c>
      <c r="P494" s="62">
        <f ca="1" t="shared" si="11"/>
        <v>254</v>
      </c>
      <c r="Q494" s="26" t="str">
        <f>VLOOKUP(B494,辅助信息!E:M,9,FALSE)</f>
        <v>ZTWM-CDGS-XS-2024-0248-五冶钢构-南充市医学院项目</v>
      </c>
      <c r="R494" s="26"/>
    </row>
    <row r="495" hidden="1" spans="2:18">
      <c r="B495" s="40" t="s">
        <v>88</v>
      </c>
      <c r="C495" s="70">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8"/>
      <c r="M495" s="91">
        <v>45706</v>
      </c>
      <c r="O495" s="62">
        <f ca="1" t="shared" si="10"/>
        <v>0</v>
      </c>
      <c r="P495" s="62">
        <f ca="1" t="shared" si="11"/>
        <v>254</v>
      </c>
      <c r="Q495" s="26" t="str">
        <f>VLOOKUP(B495,辅助信息!E:M,9,FALSE)</f>
        <v>ZTWM-CDGS-XS-2024-0248-五冶钢构-南充市医学院项目</v>
      </c>
      <c r="R495" s="26"/>
    </row>
    <row r="496" hidden="1" spans="2:18">
      <c r="B496" s="40" t="s">
        <v>88</v>
      </c>
      <c r="C496" s="70">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6"/>
      <c r="M496" s="91">
        <v>45706</v>
      </c>
      <c r="O496" s="62">
        <f ca="1" t="shared" si="10"/>
        <v>0</v>
      </c>
      <c r="P496" s="62">
        <f ca="1" t="shared" si="11"/>
        <v>254</v>
      </c>
      <c r="Q496" s="26" t="str">
        <f>VLOOKUP(B496,辅助信息!E:M,9,FALSE)</f>
        <v>ZTWM-CDGS-XS-2024-0248-五冶钢构-南充市医学院项目</v>
      </c>
      <c r="R496" s="26"/>
    </row>
    <row r="497" hidden="1" spans="2:18">
      <c r="B497" s="40" t="s">
        <v>60</v>
      </c>
      <c r="C497" s="70">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1">
        <v>45706</v>
      </c>
      <c r="O497" s="62">
        <f ca="1" t="shared" si="10"/>
        <v>0</v>
      </c>
      <c r="P497" s="62">
        <f ca="1" t="shared" si="11"/>
        <v>254</v>
      </c>
      <c r="Q497" s="26" t="str">
        <f>VLOOKUP(B497,辅助信息!E:M,9,FALSE)</f>
        <v>ZTWM-CDGS-XS-2024-0248-五冶钢构-南充市医学院项目</v>
      </c>
      <c r="R497" s="26"/>
    </row>
    <row r="498" hidden="1" spans="2:18">
      <c r="B498" s="40" t="s">
        <v>60</v>
      </c>
      <c r="C498" s="70">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8"/>
      <c r="M498" s="91">
        <v>45706</v>
      </c>
      <c r="O498" s="62">
        <f ca="1" t="shared" si="10"/>
        <v>0</v>
      </c>
      <c r="P498" s="62">
        <f ca="1" t="shared" si="11"/>
        <v>254</v>
      </c>
      <c r="Q498" s="26" t="str">
        <f>VLOOKUP(B498,辅助信息!E:M,9,FALSE)</f>
        <v>ZTWM-CDGS-XS-2024-0248-五冶钢构-南充市医学院项目</v>
      </c>
      <c r="R498" s="26"/>
    </row>
    <row r="499" hidden="1" spans="2:18">
      <c r="B499" s="40" t="s">
        <v>60</v>
      </c>
      <c r="C499" s="70">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8"/>
      <c r="M499" s="91">
        <v>45706</v>
      </c>
      <c r="O499" s="62">
        <f ca="1" t="shared" si="10"/>
        <v>0</v>
      </c>
      <c r="P499" s="62">
        <f ca="1" t="shared" si="11"/>
        <v>254</v>
      </c>
      <c r="Q499" s="26" t="str">
        <f>VLOOKUP(B499,辅助信息!E:M,9,FALSE)</f>
        <v>ZTWM-CDGS-XS-2024-0248-五冶钢构-南充市医学院项目</v>
      </c>
      <c r="R499" s="26"/>
    </row>
    <row r="500" hidden="1" spans="2:18">
      <c r="B500" s="40" t="s">
        <v>60</v>
      </c>
      <c r="C500" s="70">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6"/>
      <c r="M500" s="91">
        <v>45706</v>
      </c>
      <c r="O500" s="62">
        <f ca="1" t="shared" si="10"/>
        <v>0</v>
      </c>
      <c r="P500" s="62">
        <f ca="1" t="shared" si="11"/>
        <v>254</v>
      </c>
      <c r="Q500" s="26" t="str">
        <f>VLOOKUP(B500,辅助信息!E:M,9,FALSE)</f>
        <v>ZTWM-CDGS-XS-2024-0248-五冶钢构-南充市医学院项目</v>
      </c>
      <c r="R500" s="26"/>
    </row>
    <row r="501" hidden="1" spans="2:18">
      <c r="B501" s="40" t="s">
        <v>20</v>
      </c>
      <c r="C501" s="70">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1">
        <v>45707</v>
      </c>
      <c r="N501" s="57"/>
      <c r="O501" s="62">
        <f ca="1" t="shared" si="10"/>
        <v>0</v>
      </c>
      <c r="P501" s="62">
        <f ca="1" t="shared" si="11"/>
        <v>253</v>
      </c>
      <c r="Q501" s="26" t="str">
        <f>VLOOKUP(B501,辅助信息!E:M,9,FALSE)</f>
        <v>ZTWM-CDGS-XS-2024-0248-五冶钢构-南充市医学院项目</v>
      </c>
      <c r="R501" s="26"/>
    </row>
    <row r="502" hidden="1" spans="2:18">
      <c r="B502" s="40" t="s">
        <v>20</v>
      </c>
      <c r="C502" s="70">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8"/>
      <c r="M502" s="91">
        <v>45707</v>
      </c>
      <c r="N502" s="57"/>
      <c r="O502" s="62">
        <f ca="1" t="shared" si="10"/>
        <v>0</v>
      </c>
      <c r="P502" s="62">
        <f ca="1" t="shared" si="11"/>
        <v>253</v>
      </c>
      <c r="Q502" s="26" t="str">
        <f>VLOOKUP(B502,辅助信息!E:M,9,FALSE)</f>
        <v>ZTWM-CDGS-XS-2024-0248-五冶钢构-南充市医学院项目</v>
      </c>
      <c r="R502" s="26"/>
    </row>
    <row r="503" hidden="1" spans="2:18">
      <c r="B503" s="40" t="s">
        <v>20</v>
      </c>
      <c r="C503" s="70">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8"/>
      <c r="M503" s="91">
        <v>45707</v>
      </c>
      <c r="N503" s="57"/>
      <c r="O503" s="62">
        <f ca="1" t="shared" si="10"/>
        <v>0</v>
      </c>
      <c r="P503" s="62">
        <f ca="1" t="shared" si="11"/>
        <v>253</v>
      </c>
      <c r="Q503" s="26" t="str">
        <f>VLOOKUP(B503,辅助信息!E:M,9,FALSE)</f>
        <v>ZTWM-CDGS-XS-2024-0248-五冶钢构-南充市医学院项目</v>
      </c>
      <c r="R503" s="26"/>
    </row>
    <row r="504" hidden="1" spans="2:18">
      <c r="B504" s="40" t="s">
        <v>20</v>
      </c>
      <c r="C504" s="70">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6"/>
      <c r="M504" s="91">
        <v>45707</v>
      </c>
      <c r="N504" s="57"/>
      <c r="O504" s="62">
        <f ca="1" t="shared" si="10"/>
        <v>0</v>
      </c>
      <c r="P504" s="62">
        <f ca="1" t="shared" si="11"/>
        <v>253</v>
      </c>
      <c r="Q504" s="26" t="str">
        <f>VLOOKUP(B504,辅助信息!E:M,9,FALSE)</f>
        <v>ZTWM-CDGS-XS-2024-0248-五冶钢构-南充市医学院项目</v>
      </c>
      <c r="R504" s="26"/>
    </row>
    <row r="505" hidden="1" spans="2:18">
      <c r="B505" s="40" t="s">
        <v>89</v>
      </c>
      <c r="C505" s="70">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1">
        <v>45708</v>
      </c>
      <c r="N505" s="57"/>
      <c r="O505" s="62">
        <f ca="1" t="shared" si="10"/>
        <v>0</v>
      </c>
      <c r="P505" s="62">
        <f ca="1" t="shared" si="11"/>
        <v>252</v>
      </c>
      <c r="Q505" s="26" t="str">
        <f>VLOOKUP(B505,辅助信息!E:M,9,FALSE)</f>
        <v>ZTWM-CDGS-XS-2024-0248-五冶钢构-南充市医学院项目</v>
      </c>
      <c r="R505" s="26"/>
    </row>
    <row r="506" hidden="1" spans="2:18">
      <c r="B506" s="40" t="s">
        <v>89</v>
      </c>
      <c r="C506" s="70">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8"/>
      <c r="M506" s="91">
        <v>45708</v>
      </c>
      <c r="N506" s="57"/>
      <c r="O506" s="62">
        <f ca="1" t="shared" si="10"/>
        <v>0</v>
      </c>
      <c r="P506" s="62">
        <f ca="1" t="shared" si="11"/>
        <v>252</v>
      </c>
      <c r="Q506" s="26" t="str">
        <f>VLOOKUP(B506,辅助信息!E:M,9,FALSE)</f>
        <v>ZTWM-CDGS-XS-2024-0248-五冶钢构-南充市医学院项目</v>
      </c>
      <c r="R506" s="26"/>
    </row>
    <row r="507" hidden="1" spans="2:18">
      <c r="B507" s="40" t="s">
        <v>89</v>
      </c>
      <c r="C507" s="70">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8"/>
      <c r="M507" s="91">
        <v>45708</v>
      </c>
      <c r="N507" s="57"/>
      <c r="O507" s="62">
        <f ca="1" t="shared" si="10"/>
        <v>0</v>
      </c>
      <c r="P507" s="62">
        <f ca="1" t="shared" si="11"/>
        <v>252</v>
      </c>
      <c r="Q507" s="26" t="str">
        <f>VLOOKUP(B507,辅助信息!E:M,9,FALSE)</f>
        <v>ZTWM-CDGS-XS-2024-0248-五冶钢构-南充市医学院项目</v>
      </c>
      <c r="R507" s="26"/>
    </row>
    <row r="508" hidden="1" spans="2:18">
      <c r="B508" s="40" t="s">
        <v>89</v>
      </c>
      <c r="C508" s="70">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6"/>
      <c r="M508" s="91">
        <v>45708</v>
      </c>
      <c r="N508" s="57"/>
      <c r="O508" s="62">
        <f ca="1" t="shared" si="10"/>
        <v>0</v>
      </c>
      <c r="P508" s="62">
        <f ca="1" t="shared" si="11"/>
        <v>252</v>
      </c>
      <c r="Q508" s="26" t="str">
        <f>VLOOKUP(B508,辅助信息!E:M,9,FALSE)</f>
        <v>ZTWM-CDGS-XS-2024-0248-五冶钢构-南充市医学院项目</v>
      </c>
      <c r="R508" s="26"/>
    </row>
    <row r="509" hidden="1" spans="2:18">
      <c r="B509" s="40" t="s">
        <v>92</v>
      </c>
      <c r="C509" s="70">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1">
        <v>45708</v>
      </c>
      <c r="N509" s="57"/>
      <c r="O509" s="62">
        <f ca="1" t="shared" si="10"/>
        <v>0</v>
      </c>
      <c r="P509" s="62">
        <f ca="1" t="shared" si="11"/>
        <v>252</v>
      </c>
      <c r="Q509" s="26" t="str">
        <f>VLOOKUP(B509,辅助信息!E:M,9,FALSE)</f>
        <v>ZTWM-CDGS-XS-2024-0092-华西-萌海科创农业生态谷</v>
      </c>
      <c r="R509" s="26"/>
    </row>
    <row r="510" hidden="1" spans="2:18">
      <c r="B510" s="40" t="s">
        <v>92</v>
      </c>
      <c r="C510" s="70">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8"/>
      <c r="M510" s="91">
        <v>45708</v>
      </c>
      <c r="N510" s="57"/>
      <c r="O510" s="62">
        <f ca="1" t="shared" si="10"/>
        <v>0</v>
      </c>
      <c r="P510" s="62">
        <f ca="1" t="shared" si="11"/>
        <v>252</v>
      </c>
      <c r="Q510" s="26" t="str">
        <f>VLOOKUP(B510,辅助信息!E:M,9,FALSE)</f>
        <v>ZTWM-CDGS-XS-2024-0092-华西-萌海科创农业生态谷</v>
      </c>
      <c r="R510" s="26"/>
    </row>
    <row r="511" hidden="1" spans="2:18">
      <c r="B511" s="40" t="s">
        <v>92</v>
      </c>
      <c r="C511" s="70">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8"/>
      <c r="M511" s="91">
        <v>45708</v>
      </c>
      <c r="N511" s="57"/>
      <c r="O511" s="62">
        <f ca="1" t="shared" si="10"/>
        <v>0</v>
      </c>
      <c r="P511" s="62">
        <f ca="1" t="shared" si="11"/>
        <v>252</v>
      </c>
      <c r="Q511" s="26" t="str">
        <f>VLOOKUP(B511,辅助信息!E:M,9,FALSE)</f>
        <v>ZTWM-CDGS-XS-2024-0092-华西-萌海科创农业生态谷</v>
      </c>
      <c r="R511" s="26"/>
    </row>
    <row r="512" hidden="1" spans="2:18">
      <c r="B512" s="40" t="s">
        <v>92</v>
      </c>
      <c r="C512" s="70">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8"/>
      <c r="M512" s="91">
        <v>45708</v>
      </c>
      <c r="N512" s="57"/>
      <c r="O512" s="62">
        <f ca="1" t="shared" si="10"/>
        <v>0</v>
      </c>
      <c r="P512" s="62">
        <f ca="1" t="shared" si="11"/>
        <v>252</v>
      </c>
      <c r="Q512" s="26" t="str">
        <f>VLOOKUP(B512,辅助信息!E:M,9,FALSE)</f>
        <v>ZTWM-CDGS-XS-2024-0092-华西-萌海科创农业生态谷</v>
      </c>
      <c r="R512" s="26"/>
    </row>
    <row r="513" hidden="1" spans="2:18">
      <c r="B513" s="40" t="s">
        <v>92</v>
      </c>
      <c r="C513" s="70">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8"/>
      <c r="M513" s="91">
        <v>45708</v>
      </c>
      <c r="N513" s="57"/>
      <c r="O513" s="62">
        <f ca="1" t="shared" si="10"/>
        <v>0</v>
      </c>
      <c r="P513" s="62">
        <f ca="1" t="shared" si="11"/>
        <v>252</v>
      </c>
      <c r="Q513" s="26" t="str">
        <f>VLOOKUP(B513,辅助信息!E:M,9,FALSE)</f>
        <v>ZTWM-CDGS-XS-2024-0092-华西-萌海科创农业生态谷</v>
      </c>
      <c r="R513" s="26"/>
    </row>
    <row r="514" hidden="1" spans="2:18">
      <c r="B514" s="40" t="s">
        <v>92</v>
      </c>
      <c r="C514" s="70">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8"/>
      <c r="M514" s="91">
        <v>45708</v>
      </c>
      <c r="N514" s="57"/>
      <c r="O514" s="62">
        <f ca="1" t="shared" si="10"/>
        <v>0</v>
      </c>
      <c r="P514" s="62">
        <f ca="1" t="shared" si="11"/>
        <v>252</v>
      </c>
      <c r="Q514" s="26" t="str">
        <f>VLOOKUP(B514,辅助信息!E:M,9,FALSE)</f>
        <v>ZTWM-CDGS-XS-2024-0092-华西-萌海科创农业生态谷</v>
      </c>
      <c r="R514" s="26"/>
    </row>
    <row r="515" hidden="1" spans="2:18">
      <c r="B515" s="40" t="s">
        <v>92</v>
      </c>
      <c r="C515" s="70">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8"/>
      <c r="M515" s="91">
        <v>45708</v>
      </c>
      <c r="N515" s="57"/>
      <c r="O515" s="62">
        <f ca="1" t="shared" si="10"/>
        <v>0</v>
      </c>
      <c r="P515" s="62">
        <f ca="1" t="shared" si="11"/>
        <v>252</v>
      </c>
      <c r="Q515" s="26" t="str">
        <f>VLOOKUP(B515,辅助信息!E:M,9,FALSE)</f>
        <v>ZTWM-CDGS-XS-2024-0092-华西-萌海科创农业生态谷</v>
      </c>
      <c r="R515" s="26"/>
    </row>
    <row r="516" hidden="1" spans="2:18">
      <c r="B516" s="40" t="s">
        <v>48</v>
      </c>
      <c r="C516" s="70">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8"/>
      <c r="M516" s="91">
        <v>45708</v>
      </c>
      <c r="N516" s="57"/>
      <c r="O516" s="62">
        <f ca="1" t="shared" si="10"/>
        <v>0</v>
      </c>
      <c r="P516" s="62">
        <f ca="1" t="shared" si="11"/>
        <v>252</v>
      </c>
      <c r="Q516" s="26" t="str">
        <f>VLOOKUP(B516,辅助信息!E:M,9,FALSE)</f>
        <v>ZTWM-CDGS-XS-2024-0093-华西-颐海科创农业生态谷</v>
      </c>
      <c r="R516" s="26"/>
    </row>
    <row r="517" hidden="1" spans="2:18">
      <c r="B517" s="40" t="s">
        <v>48</v>
      </c>
      <c r="C517" s="70">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8"/>
      <c r="M517" s="91">
        <v>45708</v>
      </c>
      <c r="N517" s="57"/>
      <c r="O517" s="62">
        <f ca="1" t="shared" si="10"/>
        <v>0</v>
      </c>
      <c r="P517" s="62">
        <f ca="1" t="shared" si="11"/>
        <v>252</v>
      </c>
      <c r="Q517" s="26" t="str">
        <f>VLOOKUP(B517,辅助信息!E:M,9,FALSE)</f>
        <v>ZTWM-CDGS-XS-2024-0093-华西-颐海科创农业生态谷</v>
      </c>
      <c r="R517" s="26"/>
    </row>
    <row r="518" hidden="1" spans="2:18">
      <c r="B518" s="40" t="s">
        <v>48</v>
      </c>
      <c r="C518" s="70">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8"/>
      <c r="M518" s="91">
        <v>45708</v>
      </c>
      <c r="N518" s="57"/>
      <c r="O518" s="62">
        <f ca="1" t="shared" si="10"/>
        <v>0</v>
      </c>
      <c r="P518" s="62">
        <f ca="1" t="shared" si="11"/>
        <v>252</v>
      </c>
      <c r="Q518" s="26" t="str">
        <f>VLOOKUP(B518,辅助信息!E:M,9,FALSE)</f>
        <v>ZTWM-CDGS-XS-2024-0093-华西-颐海科创农业生态谷</v>
      </c>
      <c r="R518" s="26"/>
    </row>
    <row r="519" hidden="1" spans="2:18">
      <c r="B519" s="40" t="s">
        <v>48</v>
      </c>
      <c r="C519" s="70">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6"/>
      <c r="M519" s="91">
        <v>45708</v>
      </c>
      <c r="N519" s="57"/>
      <c r="O519" s="62">
        <f ca="1" t="shared" si="10"/>
        <v>0</v>
      </c>
      <c r="P519" s="62">
        <f ca="1" t="shared" si="11"/>
        <v>252</v>
      </c>
      <c r="Q519" s="26" t="str">
        <f>VLOOKUP(B519,辅助信息!E:M,9,FALSE)</f>
        <v>ZTWM-CDGS-XS-2024-0093-华西-颐海科创农业生态谷</v>
      </c>
      <c r="R519" s="26"/>
    </row>
    <row r="520" hidden="1" spans="1:18">
      <c r="A520" s="26"/>
      <c r="B520" s="40" t="s">
        <v>80</v>
      </c>
      <c r="C520" s="70">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5">
        <v>45703</v>
      </c>
      <c r="N520" s="95"/>
      <c r="O520" s="26">
        <f ca="1" t="shared" si="10"/>
        <v>0</v>
      </c>
      <c r="P520" s="26">
        <f ca="1" t="shared" si="11"/>
        <v>257</v>
      </c>
      <c r="Q520" s="26" t="e">
        <f>VLOOKUP(B520,辅助信息!E:M,9,FALSE)</f>
        <v>#N/A</v>
      </c>
      <c r="R520" s="26"/>
    </row>
    <row r="521" hidden="1" spans="1:18">
      <c r="A521" s="26"/>
      <c r="B521" s="40" t="s">
        <v>80</v>
      </c>
      <c r="C521" s="70">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8"/>
      <c r="M521" s="95">
        <v>45703</v>
      </c>
      <c r="N521" s="95"/>
      <c r="O521" s="26">
        <f ca="1" t="shared" si="10"/>
        <v>0</v>
      </c>
      <c r="P521" s="26">
        <f ca="1" t="shared" si="11"/>
        <v>257</v>
      </c>
      <c r="Q521" s="26" t="e">
        <f>VLOOKUP(B521,辅助信息!E:M,9,FALSE)</f>
        <v>#N/A</v>
      </c>
      <c r="R521" s="26"/>
    </row>
    <row r="522" hidden="1" spans="1:18">
      <c r="A522" s="26"/>
      <c r="B522" s="40" t="s">
        <v>80</v>
      </c>
      <c r="C522" s="70">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8"/>
      <c r="M522" s="95">
        <v>45703</v>
      </c>
      <c r="N522" s="95"/>
      <c r="O522" s="26">
        <f ca="1" t="shared" si="10"/>
        <v>0</v>
      </c>
      <c r="P522" s="26">
        <f ca="1" t="shared" si="11"/>
        <v>257</v>
      </c>
      <c r="Q522" s="26"/>
      <c r="R522" s="26"/>
    </row>
    <row r="523" hidden="1" spans="1:18">
      <c r="A523" s="26"/>
      <c r="B523" s="40" t="s">
        <v>80</v>
      </c>
      <c r="C523" s="70">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6"/>
      <c r="M523" s="95">
        <v>45703</v>
      </c>
      <c r="N523" s="95"/>
      <c r="O523" s="26">
        <f ca="1" t="shared" si="10"/>
        <v>0</v>
      </c>
      <c r="P523" s="26">
        <f ca="1" t="shared" si="11"/>
        <v>257</v>
      </c>
      <c r="Q523" s="26"/>
      <c r="R523" s="26"/>
    </row>
    <row r="524" hidden="1" spans="1:18">
      <c r="A524" s="26"/>
      <c r="B524" s="40" t="s">
        <v>29</v>
      </c>
      <c r="C524" s="70">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5">
        <v>45705</v>
      </c>
      <c r="N524" s="26"/>
      <c r="O524" s="26">
        <f ca="1" t="shared" si="10"/>
        <v>0</v>
      </c>
      <c r="P524" s="26">
        <f ca="1" t="shared" si="11"/>
        <v>255</v>
      </c>
      <c r="Q524" s="26" t="e">
        <f>VLOOKUP(B524,辅助信息!E:M,9,FALSE)</f>
        <v>#N/A</v>
      </c>
      <c r="R524" s="26"/>
    </row>
    <row r="525" hidden="1" spans="1:18">
      <c r="A525" s="26"/>
      <c r="B525" s="40" t="s">
        <v>29</v>
      </c>
      <c r="C525" s="70">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8"/>
      <c r="M525" s="95">
        <v>45705</v>
      </c>
      <c r="N525" s="26"/>
      <c r="O525" s="26">
        <f ca="1" t="shared" si="10"/>
        <v>0</v>
      </c>
      <c r="P525" s="26">
        <f ca="1" t="shared" si="11"/>
        <v>255</v>
      </c>
      <c r="Q525" s="26" t="e">
        <f>VLOOKUP(B525,辅助信息!E:M,9,FALSE)</f>
        <v>#N/A</v>
      </c>
      <c r="R525" s="26"/>
    </row>
    <row r="526" hidden="1" spans="1:18">
      <c r="A526" s="26"/>
      <c r="B526" s="40" t="s">
        <v>29</v>
      </c>
      <c r="C526" s="70">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6"/>
      <c r="M526" s="95">
        <v>45705</v>
      </c>
      <c r="N526" s="26"/>
      <c r="O526" s="26">
        <f ca="1" t="shared" si="10"/>
        <v>0</v>
      </c>
      <c r="P526" s="26">
        <f ca="1" t="shared" si="11"/>
        <v>255</v>
      </c>
      <c r="Q526" s="26" t="e">
        <f>VLOOKUP(B526,辅助信息!E:M,9,FALSE)</f>
        <v>#N/A</v>
      </c>
      <c r="R526" s="26"/>
    </row>
    <row r="527" hidden="1" spans="1:18">
      <c r="A527" s="26" t="s">
        <v>93</v>
      </c>
      <c r="B527" s="40" t="s">
        <v>78</v>
      </c>
      <c r="C527" s="70">
        <v>45706</v>
      </c>
      <c r="D527" s="40" t="e">
        <f>VLOOKUP(B527,辅助信息!E:K,7,FALSE)</f>
        <v>#N/A</v>
      </c>
      <c r="E527" s="40" t="str">
        <f>VLOOKUP(F527,辅助信息!A:B,2,FALSE)</f>
        <v>螺纹钢</v>
      </c>
      <c r="F527" s="40" t="s">
        <v>33</v>
      </c>
      <c r="G527" s="97">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5">
        <v>45705</v>
      </c>
      <c r="N527" s="26"/>
      <c r="O527" s="26">
        <f ca="1" t="shared" si="10"/>
        <v>0</v>
      </c>
      <c r="P527" s="26">
        <f ca="1" t="shared" si="11"/>
        <v>255</v>
      </c>
      <c r="Q527" s="26" t="e">
        <f>VLOOKUP(B527,辅助信息!E:M,9,FALSE)</f>
        <v>#N/A</v>
      </c>
      <c r="R527" s="26"/>
    </row>
    <row r="528" hidden="1" spans="1:18">
      <c r="A528" s="26"/>
      <c r="B528" s="40" t="s">
        <v>69</v>
      </c>
      <c r="C528" s="70">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5">
        <v>45704</v>
      </c>
      <c r="N528" s="26"/>
      <c r="O528" s="26">
        <f ca="1" t="shared" si="10"/>
        <v>0</v>
      </c>
      <c r="P528" s="26">
        <f ca="1" t="shared" si="11"/>
        <v>256</v>
      </c>
      <c r="Q528" s="26" t="str">
        <f>VLOOKUP(B528,辅助信息!E:M,9,FALSE)</f>
        <v>ZTWM-CDGS-XS-2024-0134-商投建工达州中医药科技成果示范园项目</v>
      </c>
      <c r="R528" s="26"/>
    </row>
    <row r="529" s="26" customFormat="1" hidden="1" spans="2:17">
      <c r="B529" s="40" t="s">
        <v>84</v>
      </c>
      <c r="C529" s="70">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5">
        <v>45705</v>
      </c>
      <c r="O529" s="26">
        <f ca="1" t="shared" si="10"/>
        <v>0</v>
      </c>
      <c r="P529" s="26">
        <f ca="1" t="shared" si="11"/>
        <v>255</v>
      </c>
      <c r="Q529" s="26" t="e">
        <f>VLOOKUP(B529,辅助信息!E:M,9,FALSE)</f>
        <v>#N/A</v>
      </c>
    </row>
    <row r="530" s="26" customFormat="1" hidden="1" spans="2:17">
      <c r="B530" s="40" t="s">
        <v>84</v>
      </c>
      <c r="C530" s="70">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8"/>
      <c r="M530" s="95">
        <v>45705</v>
      </c>
      <c r="O530" s="26">
        <f ca="1" t="shared" ref="O530:O593" si="12">IF(OR(M530="",N530&lt;&gt;""),"",MAX(M530-TODAY(),0))</f>
        <v>0</v>
      </c>
      <c r="P530" s="26">
        <f ca="1">IF(M530="","",IF(N530&lt;&gt;"",MAX(N530-M530,0),IF(TODAY()&gt;M530,TODAY()-M530,0)))</f>
        <v>255</v>
      </c>
      <c r="Q530" s="26" t="e">
        <f>VLOOKUP(B530,辅助信息!E:M,9,FALSE)</f>
        <v>#N/A</v>
      </c>
    </row>
    <row r="531" s="26" customFormat="1" hidden="1" spans="2:17">
      <c r="B531" s="40" t="s">
        <v>84</v>
      </c>
      <c r="C531" s="70">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6"/>
      <c r="M531" s="95">
        <v>45705</v>
      </c>
      <c r="O531" s="26">
        <f ca="1" t="shared" si="12"/>
        <v>0</v>
      </c>
      <c r="P531" s="26">
        <v>3</v>
      </c>
      <c r="Q531" s="26" t="e">
        <f>VLOOKUP(B531,辅助信息!E:M,9,FALSE)</f>
        <v>#N/A</v>
      </c>
    </row>
    <row r="532" s="26" customFormat="1" hidden="1" spans="1:17">
      <c r="A532" s="26" t="s">
        <v>93</v>
      </c>
      <c r="B532" s="40" t="s">
        <v>75</v>
      </c>
      <c r="C532" s="70">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5">
        <v>45709</v>
      </c>
      <c r="O532" s="26">
        <f ca="1" t="shared" si="12"/>
        <v>0</v>
      </c>
      <c r="P532" s="26">
        <f ca="1" t="shared" ref="P532:P570" si="13">IF(M532="","",IF(N532&lt;&gt;"",MAX(N532-M532,0),IF(TODAY()&gt;M532,TODAY()-M532,0)))</f>
        <v>251</v>
      </c>
      <c r="Q532" s="26" t="e">
        <f>VLOOKUP(B532,辅助信息!E:M,9,FALSE)</f>
        <v>#N/A</v>
      </c>
    </row>
    <row r="533" s="26" customFormat="1" hidden="1" spans="2:17">
      <c r="B533" s="40" t="s">
        <v>87</v>
      </c>
      <c r="C533" s="70">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5">
        <v>45706</v>
      </c>
      <c r="O533" s="26">
        <f ca="1" t="shared" si="12"/>
        <v>0</v>
      </c>
      <c r="P533" s="26">
        <f ca="1" t="shared" si="13"/>
        <v>254</v>
      </c>
      <c r="Q533" s="26" t="e">
        <f>VLOOKUP(B533,辅助信息!E:M,9,FALSE)</f>
        <v>#N/A</v>
      </c>
    </row>
    <row r="534" s="26" customFormat="1" hidden="1" spans="2:17">
      <c r="B534" s="40" t="s">
        <v>87</v>
      </c>
      <c r="C534" s="70">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6"/>
      <c r="M534" s="95">
        <v>45706</v>
      </c>
      <c r="O534" s="26">
        <f ca="1" t="shared" si="12"/>
        <v>0</v>
      </c>
      <c r="P534" s="26">
        <f ca="1" t="shared" si="13"/>
        <v>254</v>
      </c>
      <c r="Q534" s="26" t="e">
        <f>VLOOKUP(B534,辅助信息!E:M,9,FALSE)</f>
        <v>#N/A</v>
      </c>
    </row>
    <row r="535" s="26" customFormat="1" hidden="1" spans="2:17">
      <c r="B535" s="40" t="s">
        <v>74</v>
      </c>
      <c r="C535" s="70">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5">
        <v>45711</v>
      </c>
      <c r="O535" s="26">
        <f ca="1" t="shared" si="12"/>
        <v>0</v>
      </c>
      <c r="P535" s="26">
        <f ca="1" t="shared" si="13"/>
        <v>249</v>
      </c>
      <c r="Q535" s="26" t="e">
        <f>VLOOKUP(B535,辅助信息!E:M,9,FALSE)</f>
        <v>#N/A</v>
      </c>
    </row>
    <row r="536" s="26" customFormat="1" hidden="1" spans="2:17">
      <c r="B536" s="40" t="s">
        <v>74</v>
      </c>
      <c r="C536" s="70">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8"/>
      <c r="M536" s="95">
        <v>45711</v>
      </c>
      <c r="O536" s="26">
        <f ca="1" t="shared" si="12"/>
        <v>0</v>
      </c>
      <c r="P536" s="26">
        <f ca="1" t="shared" si="13"/>
        <v>249</v>
      </c>
      <c r="Q536" s="26" t="e">
        <f>VLOOKUP(B536,辅助信息!E:M,9,FALSE)</f>
        <v>#N/A</v>
      </c>
    </row>
    <row r="537" s="26" customFormat="1" hidden="1" spans="2:17">
      <c r="B537" s="40" t="s">
        <v>74</v>
      </c>
      <c r="C537" s="70">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8"/>
      <c r="M537" s="95">
        <v>45711</v>
      </c>
      <c r="O537" s="26">
        <f ca="1" t="shared" si="12"/>
        <v>0</v>
      </c>
      <c r="P537" s="26">
        <f ca="1" t="shared" si="13"/>
        <v>249</v>
      </c>
      <c r="Q537" s="26" t="e">
        <f>VLOOKUP(B537,辅助信息!E:M,9,FALSE)</f>
        <v>#N/A</v>
      </c>
    </row>
    <row r="538" s="26" customFormat="1" hidden="1" spans="2:17">
      <c r="B538" s="40" t="s">
        <v>74</v>
      </c>
      <c r="C538" s="70">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6"/>
      <c r="M538" s="95">
        <v>45711</v>
      </c>
      <c r="O538" s="26">
        <f ca="1" t="shared" si="12"/>
        <v>0</v>
      </c>
      <c r="P538" s="26">
        <f ca="1" t="shared" si="13"/>
        <v>249</v>
      </c>
      <c r="Q538" s="26" t="e">
        <f>VLOOKUP(B538,辅助信息!E:M,9,FALSE)</f>
        <v>#N/A</v>
      </c>
    </row>
    <row r="539" s="26" customFormat="1" hidden="1" spans="1:17">
      <c r="A539" s="26" t="s">
        <v>94</v>
      </c>
      <c r="B539" s="40" t="s">
        <v>79</v>
      </c>
      <c r="C539" s="70">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0">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8"/>
      <c r="O540" s="26" t="str">
        <f ca="1" t="shared" si="12"/>
        <v/>
      </c>
      <c r="P540" s="26" t="str">
        <f ca="1" t="shared" si="13"/>
        <v/>
      </c>
      <c r="Q540" s="26" t="e">
        <f>VLOOKUP(B540,辅助信息!E:M,9,FALSE)</f>
        <v>#N/A</v>
      </c>
    </row>
    <row r="541" s="26" customFormat="1" hidden="1" spans="2:17">
      <c r="B541" s="40" t="s">
        <v>79</v>
      </c>
      <c r="C541" s="70">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6"/>
      <c r="O541" s="26" t="str">
        <f ca="1" t="shared" si="12"/>
        <v/>
      </c>
      <c r="P541" s="26" t="str">
        <f ca="1" t="shared" si="13"/>
        <v/>
      </c>
      <c r="Q541" s="26" t="e">
        <f>VLOOKUP(B541,辅助信息!E:M,9,FALSE)</f>
        <v>#N/A</v>
      </c>
    </row>
    <row r="542" s="26" customFormat="1" hidden="1" spans="1:17">
      <c r="A542" s="62"/>
      <c r="B542" s="40" t="s">
        <v>88</v>
      </c>
      <c r="C542" s="70">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1">
        <v>45706</v>
      </c>
      <c r="N542" s="62"/>
      <c r="O542" s="62">
        <f ca="1" t="shared" si="12"/>
        <v>0</v>
      </c>
      <c r="P542" s="62">
        <f ca="1" t="shared" si="13"/>
        <v>254</v>
      </c>
      <c r="Q542" s="26" t="str">
        <f>VLOOKUP(B542,辅助信息!E:M,9,FALSE)</f>
        <v>ZTWM-CDGS-XS-2024-0248-五冶钢构-南充市医学院项目</v>
      </c>
    </row>
    <row r="543" s="26" customFormat="1" hidden="1" spans="1:17">
      <c r="A543" s="62"/>
      <c r="B543" s="40" t="s">
        <v>88</v>
      </c>
      <c r="C543" s="70">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8"/>
      <c r="M543" s="91">
        <v>45706</v>
      </c>
      <c r="N543" s="62"/>
      <c r="O543" s="62">
        <f ca="1" t="shared" si="12"/>
        <v>0</v>
      </c>
      <c r="P543" s="62">
        <f ca="1" t="shared" si="13"/>
        <v>254</v>
      </c>
      <c r="Q543" s="26" t="str">
        <f>VLOOKUP(B543,辅助信息!E:M,9,FALSE)</f>
        <v>ZTWM-CDGS-XS-2024-0248-五冶钢构-南充市医学院项目</v>
      </c>
    </row>
    <row r="544" s="26" customFormat="1" hidden="1" spans="1:17">
      <c r="A544" s="62"/>
      <c r="B544" s="40" t="s">
        <v>88</v>
      </c>
      <c r="C544" s="70">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8"/>
      <c r="M544" s="91">
        <v>45706</v>
      </c>
      <c r="N544" s="62"/>
      <c r="O544" s="62">
        <f ca="1" t="shared" si="12"/>
        <v>0</v>
      </c>
      <c r="P544" s="62">
        <f ca="1" t="shared" si="13"/>
        <v>254</v>
      </c>
      <c r="Q544" s="26" t="str">
        <f>VLOOKUP(B544,辅助信息!E:M,9,FALSE)</f>
        <v>ZTWM-CDGS-XS-2024-0248-五冶钢构-南充市医学院项目</v>
      </c>
    </row>
    <row r="545" hidden="1" spans="1:18">
      <c r="A545" s="62"/>
      <c r="B545" s="40" t="s">
        <v>88</v>
      </c>
      <c r="C545" s="70">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6"/>
      <c r="M545" s="91">
        <v>45706</v>
      </c>
      <c r="O545" s="62">
        <f ca="1" t="shared" si="12"/>
        <v>0</v>
      </c>
      <c r="P545" s="62">
        <f ca="1" t="shared" si="13"/>
        <v>254</v>
      </c>
      <c r="Q545" s="26" t="str">
        <f>VLOOKUP(B545,辅助信息!E:M,9,FALSE)</f>
        <v>ZTWM-CDGS-XS-2024-0248-五冶钢构-南充市医学院项目</v>
      </c>
      <c r="R545" s="26"/>
    </row>
    <row r="546" hidden="1" spans="1:18">
      <c r="A546" s="62"/>
      <c r="B546" s="40" t="s">
        <v>89</v>
      </c>
      <c r="C546" s="70">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1">
        <v>45708</v>
      </c>
      <c r="O546" s="62">
        <f ca="1" t="shared" si="12"/>
        <v>0</v>
      </c>
      <c r="P546" s="62">
        <f ca="1" t="shared" si="13"/>
        <v>252</v>
      </c>
      <c r="Q546" s="26" t="str">
        <f>VLOOKUP(B546,辅助信息!E:M,9,FALSE)</f>
        <v>ZTWM-CDGS-XS-2024-0248-五冶钢构-南充市医学院项目</v>
      </c>
      <c r="R546" s="26"/>
    </row>
    <row r="547" hidden="1" spans="1:18">
      <c r="A547" s="62"/>
      <c r="B547" s="40" t="s">
        <v>89</v>
      </c>
      <c r="C547" s="70">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8"/>
      <c r="M547" s="91">
        <v>45708</v>
      </c>
      <c r="O547" s="62">
        <f ca="1" t="shared" si="12"/>
        <v>0</v>
      </c>
      <c r="P547" s="62">
        <f ca="1" t="shared" si="13"/>
        <v>252</v>
      </c>
      <c r="Q547" s="26" t="str">
        <f>VLOOKUP(B547,辅助信息!E:M,9,FALSE)</f>
        <v>ZTWM-CDGS-XS-2024-0248-五冶钢构-南充市医学院项目</v>
      </c>
      <c r="R547" s="26"/>
    </row>
    <row r="548" hidden="1" spans="1:18">
      <c r="A548" s="62"/>
      <c r="B548" s="40" t="s">
        <v>89</v>
      </c>
      <c r="C548" s="70">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6"/>
      <c r="M548" s="91">
        <v>45708</v>
      </c>
      <c r="O548" s="62">
        <f ca="1" t="shared" si="12"/>
        <v>0</v>
      </c>
      <c r="P548" s="62">
        <f ca="1" t="shared" si="13"/>
        <v>252</v>
      </c>
      <c r="Q548" s="26" t="str">
        <f>VLOOKUP(B548,辅助信息!E:M,9,FALSE)</f>
        <v>ZTWM-CDGS-XS-2024-0248-五冶钢构-南充市医学院项目</v>
      </c>
      <c r="R548" s="26"/>
    </row>
    <row r="549" hidden="1" spans="1:18">
      <c r="A549" s="62"/>
      <c r="B549" s="40" t="s">
        <v>48</v>
      </c>
      <c r="C549" s="70">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1">
        <v>45708</v>
      </c>
      <c r="O549" s="62">
        <f ca="1" t="shared" si="12"/>
        <v>0</v>
      </c>
      <c r="P549" s="62">
        <f ca="1" t="shared" si="13"/>
        <v>252</v>
      </c>
      <c r="Q549" s="26" t="str">
        <f>VLOOKUP(B549,辅助信息!E:M,9,FALSE)</f>
        <v>ZTWM-CDGS-XS-2024-0093-华西-颐海科创农业生态谷</v>
      </c>
      <c r="R549" s="26"/>
    </row>
    <row r="550" hidden="1" spans="1:18">
      <c r="A550" s="62"/>
      <c r="B550" s="40" t="s">
        <v>48</v>
      </c>
      <c r="C550" s="70">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8"/>
      <c r="M550" s="91">
        <v>45708</v>
      </c>
      <c r="O550" s="62">
        <f ca="1" t="shared" si="12"/>
        <v>0</v>
      </c>
      <c r="P550" s="62">
        <f ca="1" t="shared" si="13"/>
        <v>252</v>
      </c>
      <c r="Q550" s="26" t="str">
        <f>VLOOKUP(B550,辅助信息!E:M,9,FALSE)</f>
        <v>ZTWM-CDGS-XS-2024-0093-华西-颐海科创农业生态谷</v>
      </c>
      <c r="R550" s="26"/>
    </row>
    <row r="551" hidden="1" spans="1:18">
      <c r="A551" s="62"/>
      <c r="B551" s="40" t="s">
        <v>48</v>
      </c>
      <c r="C551" s="70">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8"/>
      <c r="M551" s="91">
        <v>45708</v>
      </c>
      <c r="O551" s="62">
        <f ca="1" t="shared" si="12"/>
        <v>0</v>
      </c>
      <c r="P551" s="62">
        <f ca="1" t="shared" si="13"/>
        <v>252</v>
      </c>
      <c r="Q551" s="26" t="str">
        <f>VLOOKUP(B551,辅助信息!E:M,9,FALSE)</f>
        <v>ZTWM-CDGS-XS-2024-0093-华西-颐海科创农业生态谷</v>
      </c>
      <c r="R551" s="26"/>
    </row>
    <row r="552" hidden="1" spans="1:18">
      <c r="A552" s="62"/>
      <c r="B552" s="40" t="s">
        <v>48</v>
      </c>
      <c r="C552" s="70">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6"/>
      <c r="M552" s="91">
        <v>45708</v>
      </c>
      <c r="O552" s="62">
        <f ca="1" t="shared" si="12"/>
        <v>0</v>
      </c>
      <c r="P552" s="62">
        <f ca="1" t="shared" si="13"/>
        <v>252</v>
      </c>
      <c r="Q552" s="26" t="str">
        <f>VLOOKUP(B552,辅助信息!E:M,9,FALSE)</f>
        <v>ZTWM-CDGS-XS-2024-0093-华西-颐海科创农业生态谷</v>
      </c>
      <c r="R552" s="26"/>
    </row>
    <row r="553" hidden="1" spans="2:18">
      <c r="B553" s="40" t="s">
        <v>31</v>
      </c>
      <c r="C553" s="70">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1">
        <v>45708</v>
      </c>
      <c r="N553" s="57"/>
      <c r="O553" s="62">
        <f ca="1" t="shared" si="12"/>
        <v>0</v>
      </c>
      <c r="P553" s="62">
        <f ca="1" t="shared" si="13"/>
        <v>252</v>
      </c>
      <c r="Q553" s="26" t="str">
        <f>VLOOKUP(B553,辅助信息!E:M,9,FALSE)</f>
        <v>ZTWM-CDGS-XS-2024-0179-四川商投-射洪城乡一体化建设项目</v>
      </c>
      <c r="R553" s="26"/>
    </row>
    <row r="554" hidden="1" spans="2:18">
      <c r="B554" s="40" t="s">
        <v>31</v>
      </c>
      <c r="C554" s="70">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8"/>
      <c r="M554" s="91">
        <v>45708</v>
      </c>
      <c r="N554" s="57"/>
      <c r="O554" s="62">
        <f ca="1" t="shared" si="12"/>
        <v>0</v>
      </c>
      <c r="P554" s="62">
        <f ca="1" t="shared" si="13"/>
        <v>252</v>
      </c>
      <c r="Q554" s="26" t="str">
        <f>VLOOKUP(B554,辅助信息!E:M,9,FALSE)</f>
        <v>ZTWM-CDGS-XS-2024-0179-四川商投-射洪城乡一体化建设项目</v>
      </c>
      <c r="R554" s="26"/>
    </row>
    <row r="555" hidden="1" spans="2:18">
      <c r="B555" s="40" t="s">
        <v>31</v>
      </c>
      <c r="C555" s="70">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8"/>
      <c r="M555" s="91">
        <v>45708</v>
      </c>
      <c r="N555" s="57"/>
      <c r="O555" s="62">
        <f ca="1" t="shared" si="12"/>
        <v>0</v>
      </c>
      <c r="P555" s="62">
        <f ca="1" t="shared" si="13"/>
        <v>252</v>
      </c>
      <c r="Q555" s="26" t="str">
        <f>VLOOKUP(B555,辅助信息!E:M,9,FALSE)</f>
        <v>ZTWM-CDGS-XS-2024-0179-四川商投-射洪城乡一体化建设项目</v>
      </c>
      <c r="R555" s="26"/>
    </row>
    <row r="556" hidden="1" spans="2:18">
      <c r="B556" s="40" t="s">
        <v>31</v>
      </c>
      <c r="C556" s="70">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8"/>
      <c r="M556" s="91">
        <v>45708</v>
      </c>
      <c r="N556" s="57"/>
      <c r="O556" s="62">
        <f ca="1" t="shared" si="12"/>
        <v>0</v>
      </c>
      <c r="P556" s="62">
        <f ca="1" t="shared" si="13"/>
        <v>252</v>
      </c>
      <c r="Q556" s="26" t="str">
        <f>VLOOKUP(B556,辅助信息!E:M,9,FALSE)</f>
        <v>ZTWM-CDGS-XS-2024-0179-四川商投-射洪城乡一体化建设项目</v>
      </c>
      <c r="R556" s="26"/>
    </row>
    <row r="557" hidden="1" spans="2:18">
      <c r="B557" s="40" t="s">
        <v>31</v>
      </c>
      <c r="C557" s="70">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8"/>
      <c r="M557" s="91">
        <v>45708</v>
      </c>
      <c r="N557" s="57"/>
      <c r="O557" s="62">
        <f ca="1" t="shared" si="12"/>
        <v>0</v>
      </c>
      <c r="P557" s="62">
        <f ca="1" t="shared" si="13"/>
        <v>252</v>
      </c>
      <c r="Q557" s="26" t="str">
        <f>VLOOKUP(B557,辅助信息!E:M,9,FALSE)</f>
        <v>ZTWM-CDGS-XS-2024-0179-四川商投-射洪城乡一体化建设项目</v>
      </c>
      <c r="R557" s="26"/>
    </row>
    <row r="558" hidden="1" spans="2:18">
      <c r="B558" s="40" t="s">
        <v>31</v>
      </c>
      <c r="C558" s="70">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6"/>
      <c r="M558" s="91">
        <v>45708</v>
      </c>
      <c r="N558" s="57"/>
      <c r="O558" s="62">
        <f ca="1" t="shared" si="12"/>
        <v>0</v>
      </c>
      <c r="P558" s="62">
        <f ca="1" t="shared" si="13"/>
        <v>252</v>
      </c>
      <c r="Q558" s="26" t="str">
        <f>VLOOKUP(B558,辅助信息!E:M,9,FALSE)</f>
        <v>ZTWM-CDGS-XS-2024-0179-四川商投-射洪城乡一体化建设项目</v>
      </c>
      <c r="R558" s="26"/>
    </row>
    <row r="559" hidden="1" spans="2:18">
      <c r="B559" s="40" t="s">
        <v>48</v>
      </c>
      <c r="C559" s="70">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1">
        <v>45708</v>
      </c>
      <c r="N559" s="57"/>
      <c r="O559" s="62">
        <f ca="1" t="shared" si="12"/>
        <v>0</v>
      </c>
      <c r="P559" s="62">
        <f ca="1" t="shared" si="13"/>
        <v>252</v>
      </c>
      <c r="Q559" s="26" t="str">
        <f>VLOOKUP(B559,辅助信息!E:M,9,FALSE)</f>
        <v>ZTWM-CDGS-XS-2024-0093-华西-颐海科创农业生态谷</v>
      </c>
      <c r="R559" s="26"/>
    </row>
    <row r="560" hidden="1" spans="2:18">
      <c r="B560" s="40" t="s">
        <v>48</v>
      </c>
      <c r="C560" s="70">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8"/>
      <c r="M560" s="91">
        <v>45708</v>
      </c>
      <c r="N560" s="57"/>
      <c r="O560" s="62">
        <f ca="1" t="shared" si="12"/>
        <v>0</v>
      </c>
      <c r="P560" s="62">
        <f ca="1" t="shared" si="13"/>
        <v>252</v>
      </c>
      <c r="Q560" s="26" t="str">
        <f>VLOOKUP(B560,辅助信息!E:M,9,FALSE)</f>
        <v>ZTWM-CDGS-XS-2024-0093-华西-颐海科创农业生态谷</v>
      </c>
      <c r="R560" s="26"/>
    </row>
    <row r="561" hidden="1" spans="2:18">
      <c r="B561" s="40" t="s">
        <v>48</v>
      </c>
      <c r="C561" s="70">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8"/>
      <c r="M561" s="91">
        <v>45708</v>
      </c>
      <c r="N561" s="57"/>
      <c r="O561" s="62">
        <f ca="1" t="shared" si="12"/>
        <v>0</v>
      </c>
      <c r="P561" s="62">
        <f ca="1" t="shared" si="13"/>
        <v>252</v>
      </c>
      <c r="Q561" s="26" t="str">
        <f>VLOOKUP(B561,辅助信息!E:M,9,FALSE)</f>
        <v>ZTWM-CDGS-XS-2024-0093-华西-颐海科创农业生态谷</v>
      </c>
      <c r="R561" s="26"/>
    </row>
    <row r="562" hidden="1" spans="2:18">
      <c r="B562" s="40" t="s">
        <v>48</v>
      </c>
      <c r="C562" s="70">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8"/>
      <c r="M562" s="91">
        <v>45708</v>
      </c>
      <c r="N562" s="57"/>
      <c r="O562" s="62">
        <f ca="1" t="shared" si="12"/>
        <v>0</v>
      </c>
      <c r="P562" s="62">
        <f ca="1" t="shared" si="13"/>
        <v>252</v>
      </c>
      <c r="Q562" s="26" t="str">
        <f>VLOOKUP(B562,辅助信息!E:M,9,FALSE)</f>
        <v>ZTWM-CDGS-XS-2024-0093-华西-颐海科创农业生态谷</v>
      </c>
      <c r="R562" s="26"/>
    </row>
    <row r="563" hidden="1" spans="2:18">
      <c r="B563" s="40" t="s">
        <v>48</v>
      </c>
      <c r="C563" s="70">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6"/>
      <c r="M563" s="91">
        <v>45708</v>
      </c>
      <c r="N563" s="57"/>
      <c r="O563" s="62">
        <f ca="1" t="shared" si="12"/>
        <v>0</v>
      </c>
      <c r="P563" s="62">
        <f ca="1" t="shared" si="13"/>
        <v>252</v>
      </c>
      <c r="Q563" s="26" t="str">
        <f>VLOOKUP(B563,辅助信息!E:M,9,FALSE)</f>
        <v>ZTWM-CDGS-XS-2024-0093-华西-颐海科创农业生态谷</v>
      </c>
      <c r="R563" s="26"/>
    </row>
    <row r="564" hidden="1" spans="1:18">
      <c r="A564" s="26"/>
      <c r="B564" s="40" t="s">
        <v>29</v>
      </c>
      <c r="C564" s="70">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5">
        <v>45705</v>
      </c>
      <c r="N564" s="26"/>
      <c r="O564" s="26">
        <f ca="1" t="shared" si="12"/>
        <v>0</v>
      </c>
      <c r="P564" s="26">
        <f ca="1" t="shared" si="13"/>
        <v>255</v>
      </c>
      <c r="Q564" s="26" t="e">
        <f>VLOOKUP(B564,辅助信息!E:M,9,FALSE)</f>
        <v>#N/A</v>
      </c>
      <c r="R564" s="26"/>
    </row>
    <row r="565" hidden="1" spans="1:18">
      <c r="A565" s="26"/>
      <c r="B565" s="40" t="s">
        <v>29</v>
      </c>
      <c r="C565" s="70">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8"/>
      <c r="M565" s="95">
        <v>45705</v>
      </c>
      <c r="N565" s="26"/>
      <c r="O565" s="26">
        <f ca="1" t="shared" si="12"/>
        <v>0</v>
      </c>
      <c r="P565" s="26">
        <f ca="1" t="shared" si="13"/>
        <v>255</v>
      </c>
      <c r="Q565" s="26" t="e">
        <f>VLOOKUP(B565,辅助信息!E:M,9,FALSE)</f>
        <v>#N/A</v>
      </c>
      <c r="R565" s="26"/>
    </row>
    <row r="566" hidden="1" spans="1:18">
      <c r="A566" s="26"/>
      <c r="B566" s="40" t="s">
        <v>29</v>
      </c>
      <c r="C566" s="70">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6"/>
      <c r="M566" s="95">
        <v>45705</v>
      </c>
      <c r="N566" s="26"/>
      <c r="O566" s="26">
        <f ca="1" t="shared" si="12"/>
        <v>0</v>
      </c>
      <c r="P566" s="26">
        <f ca="1" t="shared" si="13"/>
        <v>255</v>
      </c>
      <c r="Q566" s="26" t="e">
        <f>VLOOKUP(B566,辅助信息!E:M,9,FALSE)</f>
        <v>#N/A</v>
      </c>
      <c r="R566" s="26"/>
    </row>
    <row r="567" ht="60" hidden="1" customHeight="1" spans="1:18">
      <c r="A567" s="96" t="s">
        <v>95</v>
      </c>
      <c r="B567" s="40" t="s">
        <v>78</v>
      </c>
      <c r="C567" s="70">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5">
        <v>45705</v>
      </c>
      <c r="N567" s="26"/>
      <c r="O567" s="26">
        <f ca="1" t="shared" si="12"/>
        <v>0</v>
      </c>
      <c r="P567" s="26">
        <f ca="1" t="shared" si="13"/>
        <v>255</v>
      </c>
      <c r="Q567" s="26" t="e">
        <f>VLOOKUP(B567,辅助信息!E:M,9,FALSE)</f>
        <v>#N/A</v>
      </c>
      <c r="R567" s="26"/>
    </row>
    <row r="568" ht="36" hidden="1" customHeight="1" spans="1:18">
      <c r="A568" s="96" t="s">
        <v>95</v>
      </c>
      <c r="B568" s="40" t="s">
        <v>69</v>
      </c>
      <c r="C568" s="70">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5">
        <v>45704</v>
      </c>
      <c r="N568" s="26"/>
      <c r="O568" s="26">
        <f ca="1" t="shared" si="12"/>
        <v>0</v>
      </c>
      <c r="P568" s="26">
        <f ca="1" t="shared" si="13"/>
        <v>256</v>
      </c>
      <c r="Q568" s="26" t="str">
        <f>VLOOKUP(B568,辅助信息!E:M,9,FALSE)</f>
        <v>ZTWM-CDGS-XS-2024-0134-商投建工达州中医药科技成果示范园项目</v>
      </c>
      <c r="R568" s="26"/>
    </row>
    <row r="569" hidden="1" spans="1:18">
      <c r="A569" s="26"/>
      <c r="B569" s="40" t="s">
        <v>84</v>
      </c>
      <c r="C569" s="70">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5">
        <v>45705</v>
      </c>
      <c r="N569" s="26"/>
      <c r="O569" s="26">
        <f ca="1" t="shared" si="12"/>
        <v>0</v>
      </c>
      <c r="P569" s="26">
        <f ca="1" t="shared" si="13"/>
        <v>255</v>
      </c>
      <c r="Q569" s="26" t="e">
        <f>VLOOKUP(B569,辅助信息!E:M,9,FALSE)</f>
        <v>#N/A</v>
      </c>
      <c r="R569" s="26"/>
    </row>
    <row r="570" hidden="1" spans="1:18">
      <c r="A570" s="26"/>
      <c r="B570" s="40" t="s">
        <v>84</v>
      </c>
      <c r="C570" s="70">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8"/>
      <c r="M570" s="95">
        <v>45705</v>
      </c>
      <c r="N570" s="26"/>
      <c r="O570" s="26">
        <f ca="1" t="shared" si="12"/>
        <v>0</v>
      </c>
      <c r="P570" s="26">
        <f ca="1" t="shared" si="13"/>
        <v>255</v>
      </c>
      <c r="Q570" s="26" t="e">
        <f>VLOOKUP(B570,辅助信息!E:M,9,FALSE)</f>
        <v>#N/A</v>
      </c>
      <c r="R570" s="26"/>
    </row>
    <row r="571" hidden="1" spans="1:18">
      <c r="A571" s="26"/>
      <c r="B571" s="40" t="s">
        <v>84</v>
      </c>
      <c r="C571" s="70">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8"/>
      <c r="M571" s="95">
        <v>45705</v>
      </c>
      <c r="N571" s="26"/>
      <c r="O571" s="26">
        <f ca="1" t="shared" si="12"/>
        <v>0</v>
      </c>
      <c r="P571" s="26">
        <v>3</v>
      </c>
      <c r="Q571" s="26" t="e">
        <f>VLOOKUP(B571,辅助信息!E:M,9,FALSE)</f>
        <v>#N/A</v>
      </c>
      <c r="R571" s="26"/>
    </row>
    <row r="572" hidden="1" spans="1:18">
      <c r="A572" s="26"/>
      <c r="B572" s="40" t="s">
        <v>84</v>
      </c>
      <c r="C572" s="70">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6"/>
      <c r="M572" s="95">
        <v>45705</v>
      </c>
      <c r="N572" s="26"/>
      <c r="O572" s="26">
        <f ca="1" t="shared" si="12"/>
        <v>0</v>
      </c>
      <c r="P572" s="26">
        <v>3</v>
      </c>
      <c r="Q572" s="26"/>
      <c r="R572" s="26"/>
    </row>
    <row r="573" ht="60" hidden="1" customHeight="1" spans="1:18">
      <c r="A573" s="96" t="s">
        <v>95</v>
      </c>
      <c r="B573" s="40" t="s">
        <v>75</v>
      </c>
      <c r="C573" s="70">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5">
        <v>45709</v>
      </c>
      <c r="N573" s="26"/>
      <c r="O573" s="26">
        <f ca="1" t="shared" si="12"/>
        <v>0</v>
      </c>
      <c r="P573" s="26">
        <f ca="1" t="shared" ref="P573:P624" si="14">IF(M573="","",IF(N573&lt;&gt;"",MAX(N573-M573,0),IF(TODAY()&gt;M573,TODAY()-M573,0)))</f>
        <v>251</v>
      </c>
      <c r="Q573" s="26" t="e">
        <f>VLOOKUP(B573,辅助信息!E:M,9,FALSE)</f>
        <v>#N/A</v>
      </c>
      <c r="R573" s="26"/>
    </row>
    <row r="574" hidden="1" spans="1:18">
      <c r="A574" s="26"/>
      <c r="B574" s="40" t="s">
        <v>87</v>
      </c>
      <c r="C574" s="70">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5">
        <v>45706</v>
      </c>
      <c r="N574" s="26"/>
      <c r="O574" s="26">
        <f ca="1" t="shared" si="12"/>
        <v>0</v>
      </c>
      <c r="P574" s="26">
        <f ca="1" t="shared" si="14"/>
        <v>254</v>
      </c>
      <c r="Q574" s="26" t="e">
        <f>VLOOKUP(B574,辅助信息!E:M,9,FALSE)</f>
        <v>#N/A</v>
      </c>
      <c r="R574" s="26"/>
    </row>
    <row r="575" hidden="1" spans="1:18">
      <c r="A575" s="26"/>
      <c r="B575" s="40" t="s">
        <v>87</v>
      </c>
      <c r="C575" s="70">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6"/>
      <c r="M575" s="95">
        <v>45706</v>
      </c>
      <c r="N575" s="26"/>
      <c r="O575" s="26">
        <f ca="1" t="shared" si="12"/>
        <v>0</v>
      </c>
      <c r="P575" s="26">
        <f ca="1" t="shared" si="14"/>
        <v>254</v>
      </c>
      <c r="Q575" s="26" t="e">
        <f>VLOOKUP(B575,辅助信息!E:M,9,FALSE)</f>
        <v>#N/A</v>
      </c>
      <c r="R575" s="26"/>
    </row>
    <row r="576" hidden="1" spans="1:18">
      <c r="A576" s="26"/>
      <c r="B576" s="40" t="s">
        <v>74</v>
      </c>
      <c r="C576" s="70">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5">
        <v>45711</v>
      </c>
      <c r="N576" s="26"/>
      <c r="O576" s="26">
        <f ca="1" t="shared" si="12"/>
        <v>0</v>
      </c>
      <c r="P576" s="26">
        <f ca="1" t="shared" si="14"/>
        <v>249</v>
      </c>
      <c r="Q576" s="26" t="e">
        <f>VLOOKUP(B576,辅助信息!E:M,9,FALSE)</f>
        <v>#N/A</v>
      </c>
      <c r="R576" s="26"/>
    </row>
    <row r="577" hidden="1" spans="1:18">
      <c r="A577" s="26"/>
      <c r="B577" s="40" t="s">
        <v>74</v>
      </c>
      <c r="C577" s="70">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8"/>
      <c r="M577" s="95">
        <v>45711</v>
      </c>
      <c r="N577" s="26"/>
      <c r="O577" s="26">
        <f ca="1" t="shared" si="12"/>
        <v>0</v>
      </c>
      <c r="P577" s="26">
        <f ca="1" t="shared" si="14"/>
        <v>249</v>
      </c>
      <c r="Q577" s="26" t="e">
        <f>VLOOKUP(B577,辅助信息!E:M,9,FALSE)</f>
        <v>#N/A</v>
      </c>
      <c r="R577" s="26"/>
    </row>
    <row r="578" hidden="1" spans="1:18">
      <c r="A578" s="26"/>
      <c r="B578" s="40" t="s">
        <v>74</v>
      </c>
      <c r="C578" s="70">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8"/>
      <c r="M578" s="95">
        <v>45711</v>
      </c>
      <c r="N578" s="26"/>
      <c r="O578" s="26">
        <f ca="1" t="shared" si="12"/>
        <v>0</v>
      </c>
      <c r="P578" s="26">
        <f ca="1" t="shared" si="14"/>
        <v>249</v>
      </c>
      <c r="Q578" s="26" t="e">
        <f>VLOOKUP(B578,辅助信息!E:M,9,FALSE)</f>
        <v>#N/A</v>
      </c>
      <c r="R578" s="26"/>
    </row>
    <row r="579" hidden="1" spans="1:18">
      <c r="A579" s="26"/>
      <c r="B579" s="40" t="s">
        <v>74</v>
      </c>
      <c r="C579" s="70">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6"/>
      <c r="M579" s="95">
        <v>45711</v>
      </c>
      <c r="N579" s="26"/>
      <c r="O579" s="26">
        <f ca="1" t="shared" si="12"/>
        <v>0</v>
      </c>
      <c r="P579" s="26">
        <f ca="1" t="shared" si="14"/>
        <v>249</v>
      </c>
      <c r="Q579" s="26" t="e">
        <f>VLOOKUP(B579,辅助信息!E:M,9,FALSE)</f>
        <v>#N/A</v>
      </c>
      <c r="R579" s="26"/>
    </row>
    <row r="580" hidden="1" spans="1:18">
      <c r="A580" s="96" t="s">
        <v>96</v>
      </c>
      <c r="B580" s="97" t="s">
        <v>88</v>
      </c>
      <c r="C580" s="70">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5">
        <v>45706</v>
      </c>
      <c r="N580" s="26"/>
      <c r="O580" s="26">
        <f ca="1" t="shared" si="12"/>
        <v>0</v>
      </c>
      <c r="P580" s="26">
        <f ca="1" t="shared" si="14"/>
        <v>254</v>
      </c>
      <c r="Q580" s="26" t="str">
        <f>VLOOKUP(B580,辅助信息!E:M,9,FALSE)</f>
        <v>ZTWM-CDGS-XS-2024-0248-五冶钢构-南充市医学院项目</v>
      </c>
      <c r="R580" s="26"/>
    </row>
    <row r="581" hidden="1" spans="1:18">
      <c r="A581" s="26"/>
      <c r="B581" s="97" t="s">
        <v>88</v>
      </c>
      <c r="C581" s="70">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8"/>
      <c r="M581" s="95">
        <v>45706</v>
      </c>
      <c r="N581" s="26"/>
      <c r="O581" s="26">
        <f ca="1" t="shared" si="12"/>
        <v>0</v>
      </c>
      <c r="P581" s="26">
        <f ca="1" t="shared" si="14"/>
        <v>254</v>
      </c>
      <c r="Q581" s="26" t="str">
        <f>VLOOKUP(B581,辅助信息!E:M,9,FALSE)</f>
        <v>ZTWM-CDGS-XS-2024-0248-五冶钢构-南充市医学院项目</v>
      </c>
      <c r="R581" s="26"/>
    </row>
    <row r="582" hidden="1" spans="1:18">
      <c r="A582" s="26"/>
      <c r="B582" s="97" t="s">
        <v>88</v>
      </c>
      <c r="C582" s="70">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8"/>
      <c r="M582" s="95">
        <v>45706</v>
      </c>
      <c r="N582" s="26"/>
      <c r="O582" s="26">
        <f ca="1" t="shared" si="12"/>
        <v>0</v>
      </c>
      <c r="P582" s="26">
        <f ca="1" t="shared" si="14"/>
        <v>254</v>
      </c>
      <c r="Q582" s="26" t="str">
        <f>VLOOKUP(B582,辅助信息!E:M,9,FALSE)</f>
        <v>ZTWM-CDGS-XS-2024-0248-五冶钢构-南充市医学院项目</v>
      </c>
      <c r="R582" s="26"/>
    </row>
    <row r="583" hidden="1" spans="1:18">
      <c r="A583" s="26"/>
      <c r="B583" s="97" t="s">
        <v>72</v>
      </c>
      <c r="C583" s="70">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8"/>
      <c r="M583" s="95">
        <v>45708</v>
      </c>
      <c r="N583" s="26"/>
      <c r="O583" s="26">
        <f ca="1" t="shared" si="12"/>
        <v>0</v>
      </c>
      <c r="P583" s="26">
        <f ca="1" t="shared" si="14"/>
        <v>252</v>
      </c>
      <c r="Q583" s="26" t="str">
        <f>VLOOKUP(B583,辅助信息!E:M,9,FALSE)</f>
        <v>ZTWM-CDGS-XS-2024-0248-五冶钢构-南充市医学院项目</v>
      </c>
      <c r="R583" s="26"/>
    </row>
    <row r="584" hidden="1" spans="1:18">
      <c r="A584" s="26"/>
      <c r="B584" s="97" t="s">
        <v>72</v>
      </c>
      <c r="C584" s="70">
        <v>45707</v>
      </c>
      <c r="D584" s="40" t="str">
        <f>VLOOKUP(B584,辅助信息!E:K,7,FALSE)</f>
        <v>JWDDCD2025051000019</v>
      </c>
      <c r="E584" s="40" t="str">
        <f>VLOOKUP(F584,辅助信息!A:B,2,FALSE)</f>
        <v>螺纹钢</v>
      </c>
      <c r="F584" s="97"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6"/>
      <c r="M584" s="95">
        <v>45708</v>
      </c>
      <c r="N584" s="26"/>
      <c r="O584" s="26">
        <f ca="1" t="shared" si="12"/>
        <v>0</v>
      </c>
      <c r="P584" s="26">
        <f ca="1" t="shared" si="14"/>
        <v>252</v>
      </c>
      <c r="Q584" s="26" t="str">
        <f>VLOOKUP(B584,辅助信息!E:M,9,FALSE)</f>
        <v>ZTWM-CDGS-XS-2024-0248-五冶钢构-南充市医学院项目</v>
      </c>
      <c r="R584" s="26"/>
    </row>
    <row r="585" hidden="1" spans="1:18">
      <c r="A585" s="26"/>
      <c r="B585" s="40" t="s">
        <v>89</v>
      </c>
      <c r="C585" s="70">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5">
        <v>45708</v>
      </c>
      <c r="N585" s="26"/>
      <c r="O585" s="26">
        <f ca="1" t="shared" si="12"/>
        <v>0</v>
      </c>
      <c r="P585" s="26">
        <f ca="1" t="shared" si="14"/>
        <v>252</v>
      </c>
      <c r="Q585" s="26" t="str">
        <f>VLOOKUP(B585,辅助信息!E:M,9,FALSE)</f>
        <v>ZTWM-CDGS-XS-2024-0248-五冶钢构-南充市医学院项目</v>
      </c>
      <c r="R585" s="26"/>
    </row>
    <row r="586" hidden="1" spans="1:18">
      <c r="A586" s="26"/>
      <c r="B586" s="40" t="s">
        <v>89</v>
      </c>
      <c r="C586" s="70">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8"/>
      <c r="M586" s="95">
        <v>45708</v>
      </c>
      <c r="N586" s="26"/>
      <c r="O586" s="26">
        <f ca="1" t="shared" si="12"/>
        <v>0</v>
      </c>
      <c r="P586" s="26">
        <f ca="1" t="shared" si="14"/>
        <v>252</v>
      </c>
      <c r="Q586" s="26" t="str">
        <f>VLOOKUP(B586,辅助信息!E:M,9,FALSE)</f>
        <v>ZTWM-CDGS-XS-2024-0248-五冶钢构-南充市医学院项目</v>
      </c>
      <c r="R586" s="26"/>
    </row>
    <row r="587" hidden="1" spans="1:18">
      <c r="A587" s="26"/>
      <c r="B587" s="40" t="s">
        <v>89</v>
      </c>
      <c r="C587" s="70">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8"/>
      <c r="M587" s="95">
        <v>45708</v>
      </c>
      <c r="N587" s="26"/>
      <c r="O587" s="26">
        <f ca="1" t="shared" si="12"/>
        <v>0</v>
      </c>
      <c r="P587" s="26">
        <f ca="1" t="shared" si="14"/>
        <v>252</v>
      </c>
      <c r="Q587" s="26" t="str">
        <f>VLOOKUP(B587,辅助信息!E:M,9,FALSE)</f>
        <v>ZTWM-CDGS-XS-2024-0248-五冶钢构-南充市医学院项目</v>
      </c>
      <c r="R587" s="26"/>
    </row>
    <row r="588" hidden="1" spans="1:18">
      <c r="A588" s="71" t="s">
        <v>97</v>
      </c>
      <c r="B588" s="40" t="s">
        <v>98</v>
      </c>
      <c r="C588" s="70">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8"/>
      <c r="M588" s="91">
        <v>45709</v>
      </c>
      <c r="N588" s="57"/>
      <c r="O588" s="62">
        <f ca="1" t="shared" si="12"/>
        <v>0</v>
      </c>
      <c r="P588" s="62">
        <f ca="1" t="shared" si="14"/>
        <v>251</v>
      </c>
      <c r="Q588" s="26" t="e">
        <f>VLOOKUP(B588,辅助信息!E:M,9,FALSE)</f>
        <v>#N/A</v>
      </c>
      <c r="R588" s="26"/>
    </row>
    <row r="589" hidden="1" spans="2:18">
      <c r="B589" s="40" t="s">
        <v>99</v>
      </c>
      <c r="C589" s="70">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8"/>
      <c r="M589" s="91">
        <v>45709</v>
      </c>
      <c r="N589" s="57"/>
      <c r="O589" s="62">
        <f ca="1" t="shared" si="12"/>
        <v>0</v>
      </c>
      <c r="P589" s="62">
        <f ca="1" t="shared" si="14"/>
        <v>251</v>
      </c>
      <c r="Q589" s="26" t="e">
        <f>VLOOKUP(B589,辅助信息!E:M,9,FALSE)</f>
        <v>#N/A</v>
      </c>
      <c r="R589" s="26"/>
    </row>
    <row r="590" hidden="1" spans="2:18">
      <c r="B590" s="40" t="s">
        <v>99</v>
      </c>
      <c r="C590" s="70">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8"/>
      <c r="M590" s="91">
        <v>45709</v>
      </c>
      <c r="N590" s="57"/>
      <c r="O590" s="62">
        <f ca="1" t="shared" si="12"/>
        <v>0</v>
      </c>
      <c r="P590" s="62">
        <f ca="1" t="shared" si="14"/>
        <v>251</v>
      </c>
      <c r="Q590" s="26" t="e">
        <f>VLOOKUP(B590,辅助信息!E:M,9,FALSE)</f>
        <v>#N/A</v>
      </c>
      <c r="R590" s="26"/>
    </row>
    <row r="591" hidden="1" spans="2:18">
      <c r="B591" s="40" t="s">
        <v>99</v>
      </c>
      <c r="C591" s="70">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8"/>
      <c r="M591" s="91">
        <v>45709</v>
      </c>
      <c r="N591" s="57"/>
      <c r="O591" s="62">
        <f ca="1" t="shared" si="12"/>
        <v>0</v>
      </c>
      <c r="P591" s="62">
        <f ca="1" t="shared" si="14"/>
        <v>251</v>
      </c>
      <c r="Q591" s="26" t="e">
        <f>VLOOKUP(B591,辅助信息!E:M,9,FALSE)</f>
        <v>#N/A</v>
      </c>
      <c r="R591" s="26"/>
    </row>
    <row r="592" hidden="1" spans="2:18">
      <c r="B592" s="40" t="s">
        <v>99</v>
      </c>
      <c r="C592" s="70">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8"/>
      <c r="M592" s="91">
        <v>45709</v>
      </c>
      <c r="N592" s="57"/>
      <c r="O592" s="62">
        <f ca="1" t="shared" si="12"/>
        <v>0</v>
      </c>
      <c r="P592" s="62">
        <f ca="1" t="shared" si="14"/>
        <v>251</v>
      </c>
      <c r="Q592" s="26" t="e">
        <f>VLOOKUP(B592,辅助信息!E:M,9,FALSE)</f>
        <v>#N/A</v>
      </c>
      <c r="R592" s="26"/>
    </row>
    <row r="593" hidden="1" spans="2:18">
      <c r="B593" s="40" t="s">
        <v>99</v>
      </c>
      <c r="C593" s="70">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6"/>
      <c r="M593" s="91">
        <v>45709</v>
      </c>
      <c r="N593" s="57"/>
      <c r="O593" s="62">
        <f ca="1" t="shared" si="12"/>
        <v>0</v>
      </c>
      <c r="P593" s="62">
        <f ca="1" t="shared" si="14"/>
        <v>251</v>
      </c>
      <c r="Q593" s="26" t="e">
        <f>VLOOKUP(B593,辅助信息!E:M,9,FALSE)</f>
        <v>#N/A</v>
      </c>
      <c r="R593" s="26"/>
    </row>
    <row r="594" hidden="1" spans="1:18">
      <c r="A594" s="26"/>
      <c r="B594" s="40" t="s">
        <v>48</v>
      </c>
      <c r="C594" s="70">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5">
        <v>45708</v>
      </c>
      <c r="N594" s="26"/>
      <c r="O594" s="26">
        <f ca="1" t="shared" ref="O594:O624" si="15">IF(OR(M594="",N594&lt;&gt;""),"",MAX(M594-TODAY(),0))</f>
        <v>0</v>
      </c>
      <c r="P594" s="26">
        <f ca="1" t="shared" si="14"/>
        <v>252</v>
      </c>
      <c r="Q594" s="26" t="str">
        <f>VLOOKUP(B594,辅助信息!E:M,9,FALSE)</f>
        <v>ZTWM-CDGS-XS-2024-0093-华西-颐海科创农业生态谷</v>
      </c>
      <c r="R594" s="26"/>
    </row>
    <row r="595" hidden="1" spans="1:18">
      <c r="A595" s="26"/>
      <c r="B595" s="40" t="s">
        <v>48</v>
      </c>
      <c r="C595" s="70">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8"/>
      <c r="M595" s="95">
        <v>45708</v>
      </c>
      <c r="N595" s="26"/>
      <c r="O595" s="26">
        <f ca="1" t="shared" si="15"/>
        <v>0</v>
      </c>
      <c r="P595" s="26">
        <f ca="1" t="shared" si="14"/>
        <v>252</v>
      </c>
      <c r="Q595" s="26" t="str">
        <f>VLOOKUP(B595,辅助信息!E:M,9,FALSE)</f>
        <v>ZTWM-CDGS-XS-2024-0093-华西-颐海科创农业生态谷</v>
      </c>
      <c r="R595" s="26"/>
    </row>
    <row r="596" hidden="1" spans="1:18">
      <c r="A596" s="26"/>
      <c r="B596" s="40" t="s">
        <v>48</v>
      </c>
      <c r="C596" s="70">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8"/>
      <c r="M596" s="95">
        <v>45708</v>
      </c>
      <c r="N596" s="26"/>
      <c r="O596" s="26">
        <f ca="1" t="shared" si="15"/>
        <v>0</v>
      </c>
      <c r="P596" s="26">
        <f ca="1" t="shared" si="14"/>
        <v>252</v>
      </c>
      <c r="Q596" s="26" t="str">
        <f>VLOOKUP(B596,辅助信息!E:M,9,FALSE)</f>
        <v>ZTWM-CDGS-XS-2024-0093-华西-颐海科创农业生态谷</v>
      </c>
      <c r="R596" s="26"/>
    </row>
    <row r="597" hidden="1" spans="1:18">
      <c r="A597" s="26"/>
      <c r="B597" s="40" t="s">
        <v>48</v>
      </c>
      <c r="C597" s="70">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6"/>
      <c r="M597" s="95">
        <v>45708</v>
      </c>
      <c r="N597" s="26"/>
      <c r="O597" s="26">
        <f ca="1" t="shared" si="15"/>
        <v>0</v>
      </c>
      <c r="P597" s="26">
        <f ca="1" t="shared" si="14"/>
        <v>252</v>
      </c>
      <c r="Q597" s="26" t="str">
        <f>VLOOKUP(B597,辅助信息!E:M,9,FALSE)</f>
        <v>ZTWM-CDGS-XS-2024-0093-华西-颐海科创农业生态谷</v>
      </c>
      <c r="R597" s="26"/>
    </row>
    <row r="598" hidden="1" spans="1:18">
      <c r="A598" s="62"/>
      <c r="B598" s="40" t="s">
        <v>31</v>
      </c>
      <c r="C598" s="70">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1">
        <v>45708</v>
      </c>
      <c r="O598" s="62">
        <f ca="1" t="shared" si="15"/>
        <v>0</v>
      </c>
      <c r="P598" s="62">
        <f ca="1" t="shared" si="14"/>
        <v>252</v>
      </c>
      <c r="Q598" s="26" t="str">
        <f>VLOOKUP(B598,辅助信息!E:M,9,FALSE)</f>
        <v>ZTWM-CDGS-XS-2024-0179-四川商投-射洪城乡一体化建设项目</v>
      </c>
      <c r="R598" s="26"/>
    </row>
    <row r="599" hidden="1" spans="1:18">
      <c r="A599" s="62"/>
      <c r="B599" s="40" t="s">
        <v>31</v>
      </c>
      <c r="C599" s="70">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6"/>
      <c r="M599" s="91">
        <v>45708</v>
      </c>
      <c r="O599" s="62">
        <f ca="1" t="shared" si="15"/>
        <v>0</v>
      </c>
      <c r="P599" s="62">
        <f ca="1" t="shared" si="14"/>
        <v>252</v>
      </c>
      <c r="Q599" s="26" t="str">
        <f>VLOOKUP(B599,辅助信息!E:M,9,FALSE)</f>
        <v>ZTWM-CDGS-XS-2024-0179-四川商投-射洪城乡一体化建设项目</v>
      </c>
      <c r="R599" s="26"/>
    </row>
    <row r="600" hidden="1" spans="1:18">
      <c r="A600" s="62"/>
      <c r="B600" s="40" t="s">
        <v>48</v>
      </c>
      <c r="C600" s="70">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1">
        <v>45708</v>
      </c>
      <c r="O600" s="62">
        <f ca="1" t="shared" si="15"/>
        <v>0</v>
      </c>
      <c r="P600" s="62">
        <f ca="1" t="shared" si="14"/>
        <v>252</v>
      </c>
      <c r="Q600" s="26" t="str">
        <f>VLOOKUP(B600,辅助信息!E:M,9,FALSE)</f>
        <v>ZTWM-CDGS-XS-2024-0093-华西-颐海科创农业生态谷</v>
      </c>
      <c r="R600" s="26"/>
    </row>
    <row r="601" hidden="1" spans="1:18">
      <c r="A601" s="62"/>
      <c r="B601" s="40" t="s">
        <v>48</v>
      </c>
      <c r="C601" s="70">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8"/>
      <c r="M601" s="91">
        <v>45708</v>
      </c>
      <c r="O601" s="62">
        <f ca="1" t="shared" si="15"/>
        <v>0</v>
      </c>
      <c r="P601" s="62">
        <f ca="1" t="shared" si="14"/>
        <v>252</v>
      </c>
      <c r="Q601" s="26" t="str">
        <f>VLOOKUP(B601,辅助信息!E:M,9,FALSE)</f>
        <v>ZTWM-CDGS-XS-2024-0093-华西-颐海科创农业生态谷</v>
      </c>
      <c r="R601" s="26"/>
    </row>
    <row r="602" hidden="1" spans="1:18">
      <c r="A602" s="62"/>
      <c r="B602" s="40" t="s">
        <v>48</v>
      </c>
      <c r="C602" s="70">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8"/>
      <c r="M602" s="91">
        <v>45708</v>
      </c>
      <c r="O602" s="62">
        <f ca="1" t="shared" si="15"/>
        <v>0</v>
      </c>
      <c r="P602" s="62">
        <f ca="1" t="shared" si="14"/>
        <v>252</v>
      </c>
      <c r="Q602" s="26" t="str">
        <f>VLOOKUP(B602,辅助信息!E:M,9,FALSE)</f>
        <v>ZTWM-CDGS-XS-2024-0093-华西-颐海科创农业生态谷</v>
      </c>
      <c r="R602" s="26"/>
    </row>
    <row r="603" hidden="1" spans="1:18">
      <c r="A603" s="62"/>
      <c r="B603" s="40" t="s">
        <v>48</v>
      </c>
      <c r="C603" s="70">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8"/>
      <c r="M603" s="91">
        <v>45708</v>
      </c>
      <c r="O603" s="62">
        <f ca="1" t="shared" si="15"/>
        <v>0</v>
      </c>
      <c r="P603" s="62">
        <f ca="1" t="shared" si="14"/>
        <v>252</v>
      </c>
      <c r="Q603" s="26" t="str">
        <f>VLOOKUP(B603,辅助信息!E:M,9,FALSE)</f>
        <v>ZTWM-CDGS-XS-2024-0093-华西-颐海科创农业生态谷</v>
      </c>
      <c r="R603" s="26"/>
    </row>
    <row r="604" hidden="1" spans="1:18">
      <c r="A604" s="62"/>
      <c r="B604" s="40" t="s">
        <v>48</v>
      </c>
      <c r="C604" s="70">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6"/>
      <c r="M604" s="91">
        <v>45708</v>
      </c>
      <c r="O604" s="62">
        <f ca="1" t="shared" si="15"/>
        <v>0</v>
      </c>
      <c r="P604" s="62">
        <f ca="1" t="shared" si="14"/>
        <v>252</v>
      </c>
      <c r="Q604" s="26" t="str">
        <f>VLOOKUP(B604,辅助信息!E:M,9,FALSE)</f>
        <v>ZTWM-CDGS-XS-2024-0093-华西-颐海科创农业生态谷</v>
      </c>
      <c r="R604" s="26"/>
    </row>
    <row r="605" hidden="1" spans="2:18">
      <c r="B605" s="40" t="s">
        <v>80</v>
      </c>
      <c r="C605" s="70">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1">
        <v>45708</v>
      </c>
      <c r="N605" s="57"/>
      <c r="O605" s="62">
        <f ca="1" t="shared" si="15"/>
        <v>0</v>
      </c>
      <c r="P605" s="62">
        <f ca="1" t="shared" si="14"/>
        <v>252</v>
      </c>
      <c r="Q605" s="26" t="e">
        <f>VLOOKUP(B605,辅助信息!E:M,9,FALSE)</f>
        <v>#N/A</v>
      </c>
      <c r="R605" s="26"/>
    </row>
    <row r="606" hidden="1" spans="2:18">
      <c r="B606" s="40" t="s">
        <v>80</v>
      </c>
      <c r="C606" s="70">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6"/>
      <c r="M606" s="91">
        <v>45708</v>
      </c>
      <c r="N606" s="57"/>
      <c r="O606" s="62">
        <f ca="1" t="shared" si="15"/>
        <v>0</v>
      </c>
      <c r="P606" s="62">
        <f ca="1" t="shared" si="14"/>
        <v>252</v>
      </c>
      <c r="Q606" s="26" t="e">
        <f>VLOOKUP(B606,辅助信息!E:M,9,FALSE)</f>
        <v>#N/A</v>
      </c>
      <c r="R606" s="26"/>
    </row>
    <row r="607" ht="36" hidden="1" customHeight="1" spans="2:18">
      <c r="B607" s="40" t="s">
        <v>47</v>
      </c>
      <c r="C607" s="70">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1">
        <v>45710</v>
      </c>
      <c r="N607" s="57"/>
      <c r="O607" s="62">
        <f ca="1" t="shared" si="15"/>
        <v>0</v>
      </c>
      <c r="P607" s="62">
        <f ca="1" t="shared" si="14"/>
        <v>250</v>
      </c>
      <c r="Q607" s="26" t="str">
        <f>VLOOKUP(B607,辅助信息!E:M,9,FALSE)</f>
        <v>ZTWM-CDGS-XS-2024-0134-商投建工达州中医药科技成果示范园项目</v>
      </c>
      <c r="R607" s="26"/>
    </row>
    <row r="608" ht="36" hidden="1" customHeight="1" spans="1:18">
      <c r="A608" s="26"/>
      <c r="B608" s="40" t="s">
        <v>69</v>
      </c>
      <c r="C608" s="70">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5">
        <v>45704</v>
      </c>
      <c r="N608" s="26"/>
      <c r="O608" s="26">
        <f ca="1" t="shared" si="15"/>
        <v>0</v>
      </c>
      <c r="P608" s="62">
        <f ca="1" t="shared" si="14"/>
        <v>256</v>
      </c>
      <c r="Q608" s="26" t="str">
        <f>VLOOKUP(B608,辅助信息!E:M,9,FALSE)</f>
        <v>ZTWM-CDGS-XS-2024-0134-商投建工达州中医药科技成果示范园项目</v>
      </c>
      <c r="R608" s="26"/>
    </row>
    <row r="609" s="26" customFormat="1" hidden="1" spans="2:17">
      <c r="B609" s="40" t="s">
        <v>84</v>
      </c>
      <c r="C609" s="70">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5">
        <v>45705</v>
      </c>
      <c r="O609" s="26">
        <f ca="1" t="shared" si="15"/>
        <v>0</v>
      </c>
      <c r="P609" s="62">
        <f ca="1" t="shared" si="14"/>
        <v>255</v>
      </c>
      <c r="Q609" s="26" t="e">
        <f>VLOOKUP(B609,辅助信息!E:M,9,FALSE)</f>
        <v>#N/A</v>
      </c>
    </row>
    <row r="610" s="26" customFormat="1" hidden="1" spans="2:17">
      <c r="B610" s="40" t="s">
        <v>84</v>
      </c>
      <c r="C610" s="70">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8"/>
      <c r="M610" s="95">
        <v>45705</v>
      </c>
      <c r="O610" s="26">
        <f ca="1" t="shared" si="15"/>
        <v>0</v>
      </c>
      <c r="P610" s="62">
        <f ca="1" t="shared" si="14"/>
        <v>255</v>
      </c>
      <c r="Q610" s="26" t="e">
        <f>VLOOKUP(B610,辅助信息!E:M,9,FALSE)</f>
        <v>#N/A</v>
      </c>
    </row>
    <row r="611" s="26" customFormat="1" hidden="1" spans="2:17">
      <c r="B611" s="40" t="s">
        <v>84</v>
      </c>
      <c r="C611" s="70">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8"/>
      <c r="M611" s="95">
        <v>45705</v>
      </c>
      <c r="O611" s="26">
        <f ca="1" t="shared" si="15"/>
        <v>0</v>
      </c>
      <c r="P611" s="62">
        <f ca="1" t="shared" si="14"/>
        <v>255</v>
      </c>
      <c r="Q611" s="26" t="e">
        <f>VLOOKUP(B611,辅助信息!E:M,9,FALSE)</f>
        <v>#N/A</v>
      </c>
    </row>
    <row r="612" s="26" customFormat="1" hidden="1" spans="2:17">
      <c r="B612" s="40" t="s">
        <v>84</v>
      </c>
      <c r="C612" s="70">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6"/>
      <c r="M612" s="95">
        <v>45705</v>
      </c>
      <c r="O612" s="26">
        <f ca="1" t="shared" si="15"/>
        <v>0</v>
      </c>
      <c r="P612" s="62">
        <f ca="1" t="shared" si="14"/>
        <v>255</v>
      </c>
      <c r="Q612" s="26" t="e">
        <f>VLOOKUP(B612,辅助信息!E:M,9,FALSE)</f>
        <v>#N/A</v>
      </c>
    </row>
    <row r="613" s="26" customFormat="1" ht="60" hidden="1" customHeight="1" spans="2:17">
      <c r="B613" s="40" t="s">
        <v>75</v>
      </c>
      <c r="C613" s="70">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5">
        <v>45709</v>
      </c>
      <c r="O613" s="26">
        <f ca="1" t="shared" si="15"/>
        <v>0</v>
      </c>
      <c r="P613" s="62">
        <f ca="1" t="shared" si="14"/>
        <v>251</v>
      </c>
      <c r="Q613" s="26" t="e">
        <f>VLOOKUP(B613,辅助信息!E:M,9,FALSE)</f>
        <v>#N/A</v>
      </c>
    </row>
    <row r="614" s="26" customFormat="1" hidden="1" spans="1:17">
      <c r="A614" s="62" t="s">
        <v>100</v>
      </c>
      <c r="B614" s="40" t="s">
        <v>87</v>
      </c>
      <c r="C614" s="70">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5">
        <v>45706</v>
      </c>
      <c r="O614" s="26">
        <f ca="1" t="shared" si="15"/>
        <v>0</v>
      </c>
      <c r="P614" s="62">
        <f ca="1" t="shared" si="14"/>
        <v>254</v>
      </c>
      <c r="Q614" s="26" t="e">
        <f>VLOOKUP(B614,辅助信息!E:M,9,FALSE)</f>
        <v>#N/A</v>
      </c>
    </row>
    <row r="615" s="26" customFormat="1" hidden="1" spans="2:17">
      <c r="B615" s="40" t="s">
        <v>87</v>
      </c>
      <c r="C615" s="70">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6"/>
      <c r="M615" s="95">
        <v>45706</v>
      </c>
      <c r="O615" s="26">
        <f ca="1" t="shared" si="15"/>
        <v>0</v>
      </c>
      <c r="P615" s="62">
        <f ca="1" t="shared" si="14"/>
        <v>254</v>
      </c>
      <c r="Q615" s="26" t="e">
        <f>VLOOKUP(B615,辅助信息!E:M,9,FALSE)</f>
        <v>#N/A</v>
      </c>
    </row>
    <row r="616" s="26" customFormat="1" hidden="1" spans="2:17">
      <c r="B616" s="40" t="s">
        <v>74</v>
      </c>
      <c r="C616" s="70">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5">
        <v>45711</v>
      </c>
      <c r="O616" s="26">
        <f ca="1" t="shared" si="15"/>
        <v>0</v>
      </c>
      <c r="P616" s="62">
        <f ca="1" t="shared" si="14"/>
        <v>249</v>
      </c>
      <c r="Q616" s="26" t="e">
        <f>VLOOKUP(B616,辅助信息!E:M,9,FALSE)</f>
        <v>#N/A</v>
      </c>
    </row>
    <row r="617" s="26" customFormat="1" hidden="1" spans="2:17">
      <c r="B617" s="40" t="s">
        <v>74</v>
      </c>
      <c r="C617" s="70">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8"/>
      <c r="M617" s="95">
        <v>45711</v>
      </c>
      <c r="O617" s="26">
        <f ca="1" t="shared" si="15"/>
        <v>0</v>
      </c>
      <c r="P617" s="62">
        <f ca="1" t="shared" si="14"/>
        <v>249</v>
      </c>
      <c r="Q617" s="26" t="e">
        <f>VLOOKUP(B617,辅助信息!E:M,9,FALSE)</f>
        <v>#N/A</v>
      </c>
    </row>
    <row r="618" s="26" customFormat="1" hidden="1" spans="2:17">
      <c r="B618" s="40" t="s">
        <v>74</v>
      </c>
      <c r="C618" s="70">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8"/>
      <c r="M618" s="95">
        <v>45711</v>
      </c>
      <c r="O618" s="26">
        <f ca="1" t="shared" si="15"/>
        <v>0</v>
      </c>
      <c r="P618" s="62">
        <f ca="1" t="shared" si="14"/>
        <v>249</v>
      </c>
      <c r="Q618" s="26" t="e">
        <f>VLOOKUP(B618,辅助信息!E:M,9,FALSE)</f>
        <v>#N/A</v>
      </c>
    </row>
    <row r="619" s="26" customFormat="1" hidden="1" spans="2:17">
      <c r="B619" s="40" t="s">
        <v>74</v>
      </c>
      <c r="C619" s="70">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6"/>
      <c r="M619" s="95">
        <v>45711</v>
      </c>
      <c r="O619" s="26">
        <f ca="1" t="shared" si="15"/>
        <v>0</v>
      </c>
      <c r="P619" s="62">
        <f ca="1" t="shared" si="14"/>
        <v>249</v>
      </c>
      <c r="Q619" s="26" t="e">
        <f>VLOOKUP(B619,辅助信息!E:M,9,FALSE)</f>
        <v>#N/A</v>
      </c>
    </row>
    <row r="620" s="26" customFormat="1" hidden="1" spans="1:17">
      <c r="A620" s="96" t="s">
        <v>101</v>
      </c>
      <c r="B620" s="40" t="s">
        <v>88</v>
      </c>
      <c r="C620" s="70">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8" t="str">
        <f>VLOOKUP(B620,辅助信息!E:J,6,FALSE)</f>
        <v>送货单：送货单位：南充思临新材料科技有限公司,收货单位：五冶集团川北(南充)建设有限公司,项目名称：南充医学科学产业园,送货车型13米,装货前联系收货人核实到场规格</v>
      </c>
      <c r="M620" s="95">
        <v>45706</v>
      </c>
      <c r="O620" s="26">
        <f ca="1" t="shared" si="15"/>
        <v>0</v>
      </c>
      <c r="P620" s="62">
        <f ca="1" t="shared" si="14"/>
        <v>254</v>
      </c>
      <c r="Q620" s="26" t="str">
        <f>VLOOKUP(B620,辅助信息!E:M,9,FALSE)</f>
        <v>ZTWM-CDGS-XS-2024-0248-五冶钢构-南充市医学院项目</v>
      </c>
    </row>
    <row r="621" s="26" customFormat="1" hidden="1" spans="2:17">
      <c r="B621" s="40" t="s">
        <v>88</v>
      </c>
      <c r="C621" s="70">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8"/>
      <c r="M621" s="95">
        <v>45706</v>
      </c>
      <c r="O621" s="26">
        <f ca="1" t="shared" si="15"/>
        <v>0</v>
      </c>
      <c r="P621" s="62">
        <f ca="1" t="shared" si="14"/>
        <v>254</v>
      </c>
      <c r="Q621" s="26" t="str">
        <f>VLOOKUP(B621,辅助信息!E:M,9,FALSE)</f>
        <v>ZTWM-CDGS-XS-2024-0248-五冶钢构-南充市医学院项目</v>
      </c>
    </row>
    <row r="622" s="26" customFormat="1" hidden="1" spans="2:17">
      <c r="B622" s="40" t="s">
        <v>88</v>
      </c>
      <c r="C622" s="70">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8"/>
      <c r="M622" s="95">
        <v>45706</v>
      </c>
      <c r="O622" s="26">
        <f ca="1" t="shared" si="15"/>
        <v>0</v>
      </c>
      <c r="P622" s="62">
        <f ca="1" t="shared" si="14"/>
        <v>254</v>
      </c>
      <c r="Q622" s="26" t="str">
        <f>VLOOKUP(B622,辅助信息!E:M,9,FALSE)</f>
        <v>ZTWM-CDGS-XS-2024-0248-五冶钢构-南充市医学院项目</v>
      </c>
    </row>
    <row r="623" s="26" customFormat="1" hidden="1" spans="2:17">
      <c r="B623" s="40" t="s">
        <v>72</v>
      </c>
      <c r="C623" s="70">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8"/>
      <c r="M623" s="95">
        <v>45708</v>
      </c>
      <c r="O623" s="26">
        <f ca="1" t="shared" si="15"/>
        <v>0</v>
      </c>
      <c r="P623" s="62">
        <f ca="1" t="shared" si="14"/>
        <v>252</v>
      </c>
      <c r="Q623" s="26" t="str">
        <f>VLOOKUP(B623,辅助信息!E:M,9,FALSE)</f>
        <v>ZTWM-CDGS-XS-2024-0248-五冶钢构-南充市医学院项目</v>
      </c>
    </row>
    <row r="624" s="26" customFormat="1" hidden="1" spans="2:17">
      <c r="B624" s="40" t="s">
        <v>72</v>
      </c>
      <c r="C624" s="70">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8"/>
      <c r="M624" s="95">
        <v>45708</v>
      </c>
      <c r="O624" s="26">
        <f ca="1" t="shared" si="15"/>
        <v>0</v>
      </c>
      <c r="P624" s="62">
        <f ca="1" t="shared" si="14"/>
        <v>252</v>
      </c>
      <c r="Q624" s="26" t="str">
        <f>VLOOKUP(B624,辅助信息!E:M,9,FALSE)</f>
        <v>ZTWM-CDGS-XS-2024-0248-五冶钢构-南充市医学院项目</v>
      </c>
    </row>
    <row r="625" hidden="1" spans="1:18">
      <c r="A625" s="26"/>
      <c r="B625" s="40" t="s">
        <v>72</v>
      </c>
      <c r="C625" s="70">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8"/>
      <c r="M625" s="95"/>
      <c r="N625" s="26"/>
      <c r="O625" s="26"/>
      <c r="Q625" s="26"/>
      <c r="R625" s="26"/>
    </row>
    <row r="626" hidden="1" spans="1:18">
      <c r="A626" s="26"/>
      <c r="B626" s="40" t="s">
        <v>89</v>
      </c>
      <c r="C626" s="70">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5">
        <v>45708</v>
      </c>
      <c r="N626" s="26"/>
      <c r="O626" s="26">
        <f ca="1" t="shared" ref="O626:O689" si="16">IF(OR(M626="",N626&lt;&gt;""),"",MAX(M626-TODAY(),0))</f>
        <v>0</v>
      </c>
      <c r="P626" s="62">
        <f ca="1" t="shared" ref="P626:P689" si="17">IF(M626="","",IF(N626&lt;&gt;"",MAX(N626-M626,0),IF(TODAY()&gt;M626,TODAY()-M626,0)))</f>
        <v>252</v>
      </c>
      <c r="Q626" s="26" t="str">
        <f>VLOOKUP(B626,辅助信息!E:M,9,FALSE)</f>
        <v>ZTWM-CDGS-XS-2024-0248-五冶钢构-南充市医学院项目</v>
      </c>
      <c r="R626" s="26"/>
    </row>
    <row r="627" hidden="1" spans="1:18">
      <c r="A627" s="26"/>
      <c r="B627" s="40" t="s">
        <v>89</v>
      </c>
      <c r="C627" s="70">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8"/>
      <c r="M627" s="95">
        <v>45708</v>
      </c>
      <c r="N627" s="26"/>
      <c r="O627" s="26">
        <f ca="1" t="shared" si="16"/>
        <v>0</v>
      </c>
      <c r="P627" s="62">
        <f ca="1" t="shared" si="17"/>
        <v>252</v>
      </c>
      <c r="Q627" s="26" t="str">
        <f>VLOOKUP(B627,辅助信息!E:M,9,FALSE)</f>
        <v>ZTWM-CDGS-XS-2024-0248-五冶钢构-南充市医学院项目</v>
      </c>
      <c r="R627" s="26"/>
    </row>
    <row r="628" hidden="1" spans="1:18">
      <c r="A628" s="62" t="s">
        <v>97</v>
      </c>
      <c r="B628" s="40" t="s">
        <v>98</v>
      </c>
      <c r="C628" s="70">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8"/>
      <c r="M628" s="91">
        <v>45709</v>
      </c>
      <c r="O628" s="62">
        <f ca="1" t="shared" si="16"/>
        <v>0</v>
      </c>
      <c r="P628" s="62">
        <f ca="1" t="shared" si="17"/>
        <v>251</v>
      </c>
      <c r="Q628" s="26" t="e">
        <f>VLOOKUP(B628,辅助信息!E:M,9,FALSE)</f>
        <v>#N/A</v>
      </c>
      <c r="R628" s="26"/>
    </row>
    <row r="629" hidden="1" spans="1:18">
      <c r="A629" s="26"/>
      <c r="B629" s="40" t="s">
        <v>99</v>
      </c>
      <c r="C629" s="70">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8"/>
      <c r="M629" s="91">
        <v>45709</v>
      </c>
      <c r="O629" s="62">
        <f ca="1" t="shared" si="16"/>
        <v>0</v>
      </c>
      <c r="P629" s="62">
        <f ca="1" t="shared" si="17"/>
        <v>251</v>
      </c>
      <c r="Q629" s="26" t="e">
        <f>VLOOKUP(B629,辅助信息!E:M,9,FALSE)</f>
        <v>#N/A</v>
      </c>
      <c r="R629" s="26"/>
    </row>
    <row r="630" hidden="1" spans="1:18">
      <c r="A630" s="26"/>
      <c r="B630" s="40" t="s">
        <v>99</v>
      </c>
      <c r="C630" s="70">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8"/>
      <c r="M630" s="91">
        <v>45709</v>
      </c>
      <c r="O630" s="62">
        <f ca="1" t="shared" si="16"/>
        <v>0</v>
      </c>
      <c r="P630" s="62">
        <f ca="1" t="shared" si="17"/>
        <v>251</v>
      </c>
      <c r="Q630" s="26" t="e">
        <f>VLOOKUP(B630,辅助信息!E:M,9,FALSE)</f>
        <v>#N/A</v>
      </c>
      <c r="R630" s="26"/>
    </row>
    <row r="631" hidden="1" spans="1:18">
      <c r="A631" s="26"/>
      <c r="B631" s="40" t="s">
        <v>99</v>
      </c>
      <c r="C631" s="70">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8"/>
      <c r="M631" s="91">
        <v>45709</v>
      </c>
      <c r="O631" s="62">
        <f ca="1" t="shared" si="16"/>
        <v>0</v>
      </c>
      <c r="P631" s="62">
        <f ca="1" t="shared" si="17"/>
        <v>251</v>
      </c>
      <c r="Q631" s="26" t="e">
        <f>VLOOKUP(B631,辅助信息!E:M,9,FALSE)</f>
        <v>#N/A</v>
      </c>
      <c r="R631" s="26"/>
    </row>
    <row r="632" hidden="1" spans="1:18">
      <c r="A632" s="26"/>
      <c r="B632" s="40" t="s">
        <v>99</v>
      </c>
      <c r="C632" s="70">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8"/>
      <c r="M632" s="91">
        <v>45709</v>
      </c>
      <c r="O632" s="62">
        <f ca="1" t="shared" si="16"/>
        <v>0</v>
      </c>
      <c r="P632" s="62">
        <f ca="1" t="shared" si="17"/>
        <v>251</v>
      </c>
      <c r="Q632" s="26" t="e">
        <f>VLOOKUP(B632,辅助信息!E:M,9,FALSE)</f>
        <v>#N/A</v>
      </c>
      <c r="R632" s="26"/>
    </row>
    <row r="633" hidden="1" spans="1:18">
      <c r="A633" s="26"/>
      <c r="B633" s="40" t="s">
        <v>99</v>
      </c>
      <c r="C633" s="70">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6"/>
      <c r="M633" s="91">
        <v>45709</v>
      </c>
      <c r="O633" s="62">
        <f ca="1" t="shared" si="16"/>
        <v>0</v>
      </c>
      <c r="P633" s="62">
        <f ca="1" t="shared" si="17"/>
        <v>251</v>
      </c>
      <c r="Q633" s="26" t="e">
        <f>VLOOKUP(B633,辅助信息!E:M,9,FALSE)</f>
        <v>#N/A</v>
      </c>
      <c r="R633" s="26"/>
    </row>
    <row r="634" hidden="1" spans="1:18">
      <c r="A634" s="26"/>
      <c r="B634" s="40" t="s">
        <v>31</v>
      </c>
      <c r="C634" s="70">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5">
        <v>45708</v>
      </c>
      <c r="N634" s="26"/>
      <c r="O634" s="26">
        <f ca="1" t="shared" si="16"/>
        <v>0</v>
      </c>
      <c r="P634" s="62">
        <f ca="1" t="shared" si="17"/>
        <v>252</v>
      </c>
      <c r="Q634" s="26" t="str">
        <f>VLOOKUP(B634,辅助信息!E:M,9,FALSE)</f>
        <v>ZTWM-CDGS-XS-2024-0179-四川商投-射洪城乡一体化建设项目</v>
      </c>
      <c r="R634" s="26"/>
    </row>
    <row r="635" hidden="1" spans="1:18">
      <c r="A635" s="26"/>
      <c r="B635" s="40" t="s">
        <v>31</v>
      </c>
      <c r="C635" s="70">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6"/>
      <c r="M635" s="95">
        <v>45708</v>
      </c>
      <c r="N635" s="26"/>
      <c r="O635" s="26">
        <f ca="1" t="shared" si="16"/>
        <v>0</v>
      </c>
      <c r="P635" s="62">
        <f ca="1" t="shared" si="17"/>
        <v>252</v>
      </c>
      <c r="Q635" s="26" t="str">
        <f>VLOOKUP(B635,辅助信息!E:M,9,FALSE)</f>
        <v>ZTWM-CDGS-XS-2024-0179-四川商投-射洪城乡一体化建设项目</v>
      </c>
      <c r="R635" s="26"/>
    </row>
    <row r="636" ht="36" hidden="1" customHeight="1" spans="1:18">
      <c r="A636" s="62" t="s">
        <v>100</v>
      </c>
      <c r="B636" s="40" t="s">
        <v>47</v>
      </c>
      <c r="C636" s="70">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1">
        <v>45710</v>
      </c>
      <c r="O636" s="62">
        <f ca="1" t="shared" si="16"/>
        <v>0</v>
      </c>
      <c r="P636" s="62">
        <f ca="1" t="shared" si="17"/>
        <v>250</v>
      </c>
      <c r="Q636" s="26" t="str">
        <f>VLOOKUP(B636,辅助信息!E:M,9,FALSE)</f>
        <v>ZTWM-CDGS-XS-2024-0134-商投建工达州中医药科技成果示范园项目</v>
      </c>
      <c r="R636" s="26"/>
    </row>
    <row r="637" ht="36" hidden="1" customHeight="1" spans="1:18">
      <c r="A637" s="71" t="s">
        <v>102</v>
      </c>
      <c r="B637" s="40" t="s">
        <v>81</v>
      </c>
      <c r="C637" s="70">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1">
        <v>45711</v>
      </c>
      <c r="O637" s="62">
        <f ca="1" t="shared" si="16"/>
        <v>0</v>
      </c>
      <c r="P637" s="62">
        <f ca="1" t="shared" si="17"/>
        <v>249</v>
      </c>
      <c r="Q637" s="26" t="str">
        <f>VLOOKUP(B637,辅助信息!E:M,9,FALSE)</f>
        <v>ZTWM-CDGS-XS-2024-0030-华西集采-简州大道</v>
      </c>
      <c r="R637" s="26"/>
    </row>
    <row r="638" hidden="1" spans="1:18">
      <c r="A638" s="26"/>
      <c r="B638" s="40" t="s">
        <v>69</v>
      </c>
      <c r="C638" s="70">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5">
        <v>45704</v>
      </c>
      <c r="N638" s="26"/>
      <c r="O638" s="26">
        <f ca="1" t="shared" si="16"/>
        <v>0</v>
      </c>
      <c r="P638" s="62">
        <f ca="1" t="shared" si="17"/>
        <v>256</v>
      </c>
      <c r="Q638" s="26" t="str">
        <f>VLOOKUP(B638,辅助信息!E:M,9,FALSE)</f>
        <v>ZTWM-CDGS-XS-2024-0134-商投建工达州中医药科技成果示范园项目</v>
      </c>
      <c r="R638" s="26"/>
    </row>
    <row r="639" hidden="1" spans="1:18">
      <c r="A639" s="26"/>
      <c r="B639" s="40" t="s">
        <v>69</v>
      </c>
      <c r="C639" s="70">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8"/>
      <c r="M639" s="95">
        <v>45710</v>
      </c>
      <c r="N639" s="26"/>
      <c r="O639" s="26">
        <f ca="1" t="shared" si="16"/>
        <v>0</v>
      </c>
      <c r="P639" s="62">
        <f ca="1" t="shared" si="17"/>
        <v>250</v>
      </c>
      <c r="Q639" s="26"/>
      <c r="R639" s="26"/>
    </row>
    <row r="640" hidden="1" spans="1:18">
      <c r="A640" s="26"/>
      <c r="B640" s="40" t="s">
        <v>69</v>
      </c>
      <c r="C640" s="70">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6"/>
      <c r="M640" s="95">
        <v>45710</v>
      </c>
      <c r="N640" s="26"/>
      <c r="O640" s="26">
        <f ca="1" t="shared" si="16"/>
        <v>0</v>
      </c>
      <c r="P640" s="62">
        <f ca="1" t="shared" si="17"/>
        <v>250</v>
      </c>
      <c r="Q640" s="26"/>
      <c r="R640" s="26"/>
    </row>
    <row r="641" s="26" customFormat="1" hidden="1" spans="2:17">
      <c r="B641" s="40" t="s">
        <v>84</v>
      </c>
      <c r="C641" s="70">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5">
        <v>45705</v>
      </c>
      <c r="O641" s="26">
        <f ca="1" t="shared" si="16"/>
        <v>0</v>
      </c>
      <c r="P641" s="62">
        <f ca="1" t="shared" si="17"/>
        <v>255</v>
      </c>
      <c r="Q641" s="26" t="e">
        <f>VLOOKUP(B641,辅助信息!E:M,9,FALSE)</f>
        <v>#N/A</v>
      </c>
    </row>
    <row r="642" s="26" customFormat="1" hidden="1" spans="2:17">
      <c r="B642" s="40" t="s">
        <v>84</v>
      </c>
      <c r="C642" s="70">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8"/>
      <c r="M642" s="95">
        <v>45705</v>
      </c>
      <c r="O642" s="26">
        <f ca="1" t="shared" si="16"/>
        <v>0</v>
      </c>
      <c r="P642" s="62">
        <f ca="1" t="shared" si="17"/>
        <v>255</v>
      </c>
      <c r="Q642" s="26" t="e">
        <f>VLOOKUP(B642,辅助信息!E:M,9,FALSE)</f>
        <v>#N/A</v>
      </c>
    </row>
    <row r="643" s="26" customFormat="1" hidden="1" spans="2:17">
      <c r="B643" s="40" t="s">
        <v>84</v>
      </c>
      <c r="C643" s="70">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8"/>
      <c r="M643" s="95">
        <v>45705</v>
      </c>
      <c r="O643" s="26">
        <f ca="1" t="shared" si="16"/>
        <v>0</v>
      </c>
      <c r="P643" s="62">
        <f ca="1" t="shared" si="17"/>
        <v>255</v>
      </c>
      <c r="Q643" s="26" t="e">
        <f>VLOOKUP(B643,辅助信息!E:M,9,FALSE)</f>
        <v>#N/A</v>
      </c>
    </row>
    <row r="644" s="26" customFormat="1" hidden="1" spans="2:17">
      <c r="B644" s="40" t="s">
        <v>84</v>
      </c>
      <c r="C644" s="70">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6"/>
      <c r="M644" s="95">
        <v>45705</v>
      </c>
      <c r="O644" s="26">
        <f ca="1" t="shared" si="16"/>
        <v>0</v>
      </c>
      <c r="P644" s="62">
        <f ca="1" t="shared" si="17"/>
        <v>255</v>
      </c>
      <c r="Q644" s="26" t="e">
        <f>VLOOKUP(B644,辅助信息!E:M,9,FALSE)</f>
        <v>#N/A</v>
      </c>
    </row>
    <row r="645" s="26" customFormat="1" hidden="1" spans="2:17">
      <c r="B645" s="40" t="s">
        <v>74</v>
      </c>
      <c r="C645" s="70">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5">
        <v>45711</v>
      </c>
      <c r="O645" s="26">
        <f ca="1" t="shared" si="16"/>
        <v>0</v>
      </c>
      <c r="P645" s="62">
        <f ca="1" t="shared" si="17"/>
        <v>249</v>
      </c>
      <c r="Q645" s="26" t="e">
        <f>VLOOKUP(B645,辅助信息!E:M,9,FALSE)</f>
        <v>#N/A</v>
      </c>
    </row>
    <row r="646" s="26" customFormat="1" hidden="1" spans="2:17">
      <c r="B646" s="40" t="s">
        <v>74</v>
      </c>
      <c r="C646" s="70">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8"/>
      <c r="M646" s="95">
        <v>45711</v>
      </c>
      <c r="O646" s="26">
        <f ca="1" t="shared" si="16"/>
        <v>0</v>
      </c>
      <c r="P646" s="62">
        <f ca="1" t="shared" si="17"/>
        <v>249</v>
      </c>
      <c r="Q646" s="26" t="e">
        <f>VLOOKUP(B646,辅助信息!E:M,9,FALSE)</f>
        <v>#N/A</v>
      </c>
    </row>
    <row r="647" s="26" customFormat="1" hidden="1" spans="2:17">
      <c r="B647" s="40" t="s">
        <v>74</v>
      </c>
      <c r="C647" s="70">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8"/>
      <c r="M647" s="95">
        <v>45711</v>
      </c>
      <c r="O647" s="26">
        <f ca="1" t="shared" si="16"/>
        <v>0</v>
      </c>
      <c r="P647" s="62">
        <f ca="1" t="shared" si="17"/>
        <v>249</v>
      </c>
      <c r="Q647" s="26" t="e">
        <f>VLOOKUP(B647,辅助信息!E:M,9,FALSE)</f>
        <v>#N/A</v>
      </c>
    </row>
    <row r="648" s="26" customFormat="1" hidden="1" spans="2:17">
      <c r="B648" s="40" t="s">
        <v>74</v>
      </c>
      <c r="C648" s="70">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6"/>
      <c r="M648" s="95">
        <v>45711</v>
      </c>
      <c r="O648" s="26">
        <f ca="1" t="shared" si="16"/>
        <v>0</v>
      </c>
      <c r="P648" s="62">
        <f ca="1" t="shared" si="17"/>
        <v>249</v>
      </c>
      <c r="Q648" s="26" t="e">
        <f>VLOOKUP(B648,辅助信息!E:M,9,FALSE)</f>
        <v>#N/A</v>
      </c>
    </row>
    <row r="649" s="26" customFormat="1" hidden="1" spans="1:17">
      <c r="A649" s="96" t="s">
        <v>97</v>
      </c>
      <c r="B649" s="40" t="s">
        <v>98</v>
      </c>
      <c r="C649" s="70">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5">
        <v>45709</v>
      </c>
      <c r="O649" s="26">
        <f ca="1" t="shared" si="16"/>
        <v>0</v>
      </c>
      <c r="P649" s="62">
        <f ca="1" t="shared" si="17"/>
        <v>251</v>
      </c>
      <c r="Q649" s="26" t="e">
        <f>VLOOKUP(B649,辅助信息!E:M,9,FALSE)</f>
        <v>#N/A</v>
      </c>
    </row>
    <row r="650" s="26" customFormat="1" hidden="1" spans="2:17">
      <c r="B650" s="40" t="s">
        <v>99</v>
      </c>
      <c r="C650" s="70">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8"/>
      <c r="M650" s="95">
        <v>45709</v>
      </c>
      <c r="O650" s="26">
        <f ca="1" t="shared" si="16"/>
        <v>0</v>
      </c>
      <c r="P650" s="62">
        <f ca="1" t="shared" si="17"/>
        <v>251</v>
      </c>
      <c r="Q650" s="26" t="e">
        <f>VLOOKUP(B650,辅助信息!E:M,9,FALSE)</f>
        <v>#N/A</v>
      </c>
    </row>
    <row r="651" s="26" customFormat="1" hidden="1" spans="2:17">
      <c r="B651" s="40" t="s">
        <v>99</v>
      </c>
      <c r="C651" s="70">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8"/>
      <c r="M651" s="95">
        <v>45709</v>
      </c>
      <c r="O651" s="26">
        <f ca="1" t="shared" si="16"/>
        <v>0</v>
      </c>
      <c r="P651" s="62">
        <f ca="1" t="shared" si="17"/>
        <v>251</v>
      </c>
      <c r="Q651" s="26" t="e">
        <f>VLOOKUP(B651,辅助信息!E:M,9,FALSE)</f>
        <v>#N/A</v>
      </c>
    </row>
    <row r="652" s="26" customFormat="1" hidden="1" spans="2:17">
      <c r="B652" s="40" t="s">
        <v>99</v>
      </c>
      <c r="C652" s="70">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8"/>
      <c r="M652" s="95">
        <v>45709</v>
      </c>
      <c r="O652" s="26">
        <f ca="1" t="shared" si="16"/>
        <v>0</v>
      </c>
      <c r="P652" s="62">
        <f ca="1" t="shared" si="17"/>
        <v>251</v>
      </c>
      <c r="Q652" s="26" t="e">
        <f>VLOOKUP(B652,辅助信息!E:M,9,FALSE)</f>
        <v>#N/A</v>
      </c>
    </row>
    <row r="653" s="26" customFormat="1" hidden="1" spans="2:17">
      <c r="B653" s="40" t="s">
        <v>99</v>
      </c>
      <c r="C653" s="70">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8"/>
      <c r="M653" s="95">
        <v>45709</v>
      </c>
      <c r="O653" s="26">
        <f ca="1" t="shared" si="16"/>
        <v>0</v>
      </c>
      <c r="P653" s="62">
        <f ca="1" t="shared" si="17"/>
        <v>251</v>
      </c>
      <c r="Q653" s="26" t="e">
        <f>VLOOKUP(B653,辅助信息!E:M,9,FALSE)</f>
        <v>#N/A</v>
      </c>
    </row>
    <row r="654" s="26" customFormat="1" hidden="1" spans="2:17">
      <c r="B654" s="40" t="s">
        <v>99</v>
      </c>
      <c r="C654" s="70">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6"/>
      <c r="M654" s="95">
        <v>45709</v>
      </c>
      <c r="O654" s="26">
        <f ca="1" t="shared" si="16"/>
        <v>0</v>
      </c>
      <c r="P654" s="62">
        <f ca="1" t="shared" si="17"/>
        <v>251</v>
      </c>
      <c r="Q654" s="26" t="e">
        <f>VLOOKUP(B654,辅助信息!E:M,9,FALSE)</f>
        <v>#N/A</v>
      </c>
    </row>
    <row r="655" s="26" customFormat="1" hidden="1" spans="2:17">
      <c r="B655" s="40" t="s">
        <v>31</v>
      </c>
      <c r="C655" s="70">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5">
        <v>45708</v>
      </c>
      <c r="O655" s="26">
        <f ca="1" t="shared" si="16"/>
        <v>0</v>
      </c>
      <c r="P655" s="62">
        <f ca="1" t="shared" si="17"/>
        <v>252</v>
      </c>
      <c r="Q655" s="26" t="str">
        <f>VLOOKUP(B655,辅助信息!E:M,9,FALSE)</f>
        <v>ZTWM-CDGS-XS-2024-0179-四川商投-射洪城乡一体化建设项目</v>
      </c>
    </row>
    <row r="656" s="26" customFormat="1" hidden="1" spans="2:17">
      <c r="B656" s="40" t="s">
        <v>31</v>
      </c>
      <c r="C656" s="70">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6"/>
      <c r="M656" s="95">
        <v>45708</v>
      </c>
      <c r="O656" s="26">
        <f ca="1" t="shared" si="16"/>
        <v>0</v>
      </c>
      <c r="P656" s="62">
        <f ca="1" t="shared" si="17"/>
        <v>252</v>
      </c>
      <c r="Q656" s="26" t="str">
        <f>VLOOKUP(B656,辅助信息!E:M,9,FALSE)</f>
        <v>ZTWM-CDGS-XS-2024-0179-四川商投-射洪城乡一体化建设项目</v>
      </c>
    </row>
    <row r="657" s="26" customFormat="1" ht="36" hidden="1" customHeight="1" spans="1:17">
      <c r="A657" s="62" t="s">
        <v>103</v>
      </c>
      <c r="B657" s="40" t="s">
        <v>81</v>
      </c>
      <c r="C657" s="70">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1">
        <v>45711</v>
      </c>
      <c r="N657" s="62"/>
      <c r="O657" s="26">
        <f ca="1" t="shared" si="16"/>
        <v>0</v>
      </c>
      <c r="P657" s="62">
        <f ca="1" t="shared" si="17"/>
        <v>249</v>
      </c>
      <c r="Q657" s="26" t="str">
        <f>VLOOKUP(B657,辅助信息!E:M,9,FALSE)</f>
        <v>ZTWM-CDGS-XS-2024-0030-华西集采-简州大道</v>
      </c>
    </row>
    <row r="658" s="26" customFormat="1" ht="36" hidden="1" customHeight="1" spans="2:17">
      <c r="B658" s="40" t="s">
        <v>69</v>
      </c>
      <c r="C658" s="70">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5">
        <v>45704</v>
      </c>
      <c r="O658" s="26">
        <f ca="1" t="shared" si="16"/>
        <v>0</v>
      </c>
      <c r="P658" s="62">
        <f ca="1" t="shared" si="17"/>
        <v>256</v>
      </c>
      <c r="Q658" s="26" t="str">
        <f>VLOOKUP(B658,辅助信息!E:M,9,FALSE)</f>
        <v>ZTWM-CDGS-XS-2024-0134-商投建工达州中医药科技成果示范园项目</v>
      </c>
    </row>
    <row r="659" s="26" customFormat="1" hidden="1" spans="2:17">
      <c r="B659" s="40" t="s">
        <v>84</v>
      </c>
      <c r="C659" s="70">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5">
        <v>45705</v>
      </c>
      <c r="O659" s="26">
        <f ca="1" t="shared" si="16"/>
        <v>0</v>
      </c>
      <c r="P659" s="62">
        <f ca="1" t="shared" si="17"/>
        <v>255</v>
      </c>
      <c r="Q659" s="26" t="e">
        <f>VLOOKUP(B659,辅助信息!E:M,9,FALSE)</f>
        <v>#N/A</v>
      </c>
    </row>
    <row r="660" s="26" customFormat="1" hidden="1" spans="2:17">
      <c r="B660" s="40" t="s">
        <v>84</v>
      </c>
      <c r="C660" s="70">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8"/>
      <c r="M660" s="95">
        <v>45705</v>
      </c>
      <c r="O660" s="26">
        <f ca="1" t="shared" si="16"/>
        <v>0</v>
      </c>
      <c r="P660" s="62">
        <f ca="1" t="shared" si="17"/>
        <v>255</v>
      </c>
      <c r="Q660" s="26" t="e">
        <f>VLOOKUP(B660,辅助信息!E:M,9,FALSE)</f>
        <v>#N/A</v>
      </c>
    </row>
    <row r="661" s="26" customFormat="1" hidden="1" spans="2:17">
      <c r="B661" s="40" t="s">
        <v>84</v>
      </c>
      <c r="C661" s="70">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8"/>
      <c r="M661" s="95">
        <v>45705</v>
      </c>
      <c r="O661" s="26">
        <f ca="1" t="shared" si="16"/>
        <v>0</v>
      </c>
      <c r="P661" s="62">
        <f ca="1" t="shared" si="17"/>
        <v>255</v>
      </c>
      <c r="Q661" s="26" t="e">
        <f>VLOOKUP(B661,辅助信息!E:M,9,FALSE)</f>
        <v>#N/A</v>
      </c>
    </row>
    <row r="662" s="26" customFormat="1" hidden="1" spans="2:17">
      <c r="B662" s="40" t="s">
        <v>84</v>
      </c>
      <c r="C662" s="70">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6"/>
      <c r="M662" s="95">
        <v>45705</v>
      </c>
      <c r="O662" s="26">
        <f ca="1" t="shared" si="16"/>
        <v>0</v>
      </c>
      <c r="P662" s="62">
        <f ca="1" t="shared" si="17"/>
        <v>255</v>
      </c>
      <c r="Q662" s="26" t="e">
        <f>VLOOKUP(B662,辅助信息!E:M,9,FALSE)</f>
        <v>#N/A</v>
      </c>
    </row>
    <row r="663" s="26" customFormat="1" hidden="1" spans="2:17">
      <c r="B663" s="40" t="s">
        <v>74</v>
      </c>
      <c r="C663" s="70">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5">
        <v>45711</v>
      </c>
      <c r="O663" s="26">
        <f ca="1" t="shared" si="16"/>
        <v>0</v>
      </c>
      <c r="P663" s="62">
        <f ca="1" t="shared" si="17"/>
        <v>249</v>
      </c>
      <c r="Q663" s="26" t="e">
        <f>VLOOKUP(B663,辅助信息!E:M,9,FALSE)</f>
        <v>#N/A</v>
      </c>
    </row>
    <row r="664" s="26" customFormat="1" hidden="1" spans="2:17">
      <c r="B664" s="40" t="s">
        <v>74</v>
      </c>
      <c r="C664" s="70">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8"/>
      <c r="M664" s="95">
        <v>45711</v>
      </c>
      <c r="O664" s="26">
        <f ca="1" t="shared" si="16"/>
        <v>0</v>
      </c>
      <c r="P664" s="62">
        <f ca="1" t="shared" si="17"/>
        <v>249</v>
      </c>
      <c r="Q664" s="26" t="e">
        <f>VLOOKUP(B664,辅助信息!E:M,9,FALSE)</f>
        <v>#N/A</v>
      </c>
    </row>
    <row r="665" s="26" customFormat="1" hidden="1" spans="2:17">
      <c r="B665" s="40" t="s">
        <v>74</v>
      </c>
      <c r="C665" s="70">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8"/>
      <c r="M665" s="95">
        <v>45711</v>
      </c>
      <c r="O665" s="26">
        <f ca="1" t="shared" si="16"/>
        <v>0</v>
      </c>
      <c r="P665" s="62">
        <f ca="1" t="shared" si="17"/>
        <v>249</v>
      </c>
      <c r="Q665" s="26" t="e">
        <f>VLOOKUP(B665,辅助信息!E:M,9,FALSE)</f>
        <v>#N/A</v>
      </c>
    </row>
    <row r="666" s="26" customFormat="1" hidden="1" spans="2:17">
      <c r="B666" s="40" t="s">
        <v>74</v>
      </c>
      <c r="C666" s="70">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6"/>
      <c r="M666" s="95">
        <v>45711</v>
      </c>
      <c r="O666" s="26">
        <f ca="1" t="shared" si="16"/>
        <v>0</v>
      </c>
      <c r="P666" s="62">
        <f ca="1" t="shared" si="17"/>
        <v>249</v>
      </c>
      <c r="Q666" s="26" t="e">
        <f>VLOOKUP(B666,辅助信息!E:M,9,FALSE)</f>
        <v>#N/A</v>
      </c>
    </row>
    <row r="667" s="26" customFormat="1" hidden="1" spans="1:17">
      <c r="A667" s="26" t="s">
        <v>97</v>
      </c>
      <c r="B667" s="40" t="s">
        <v>98</v>
      </c>
      <c r="C667" s="70">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5">
        <v>45709</v>
      </c>
      <c r="O667" s="26">
        <f ca="1" t="shared" si="16"/>
        <v>0</v>
      </c>
      <c r="P667" s="62">
        <f ca="1" t="shared" si="17"/>
        <v>251</v>
      </c>
      <c r="Q667" s="26" t="e">
        <f>VLOOKUP(B667,辅助信息!E:M,9,FALSE)</f>
        <v>#N/A</v>
      </c>
    </row>
    <row r="668" s="26" customFormat="1" hidden="1" spans="2:17">
      <c r="B668" s="40" t="s">
        <v>99</v>
      </c>
      <c r="C668" s="70">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8"/>
      <c r="M668" s="95">
        <v>45709</v>
      </c>
      <c r="O668" s="26">
        <f ca="1" t="shared" si="16"/>
        <v>0</v>
      </c>
      <c r="P668" s="62">
        <f ca="1" t="shared" si="17"/>
        <v>251</v>
      </c>
      <c r="Q668" s="26" t="e">
        <f>VLOOKUP(B668,辅助信息!E:M,9,FALSE)</f>
        <v>#N/A</v>
      </c>
    </row>
    <row r="669" s="26" customFormat="1" hidden="1" spans="2:17">
      <c r="B669" s="40" t="s">
        <v>99</v>
      </c>
      <c r="C669" s="70">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8"/>
      <c r="M669" s="95">
        <v>45709</v>
      </c>
      <c r="O669" s="26">
        <f ca="1" t="shared" si="16"/>
        <v>0</v>
      </c>
      <c r="P669" s="62">
        <f ca="1" t="shared" si="17"/>
        <v>251</v>
      </c>
      <c r="Q669" s="26" t="e">
        <f>VLOOKUP(B669,辅助信息!E:M,9,FALSE)</f>
        <v>#N/A</v>
      </c>
    </row>
    <row r="670" s="26" customFormat="1" hidden="1" spans="2:17">
      <c r="B670" s="40" t="s">
        <v>99</v>
      </c>
      <c r="C670" s="70">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8"/>
      <c r="M670" s="95">
        <v>45709</v>
      </c>
      <c r="O670" s="26">
        <f ca="1" t="shared" si="16"/>
        <v>0</v>
      </c>
      <c r="P670" s="62">
        <f ca="1" t="shared" si="17"/>
        <v>251</v>
      </c>
      <c r="Q670" s="26" t="e">
        <f>VLOOKUP(B670,辅助信息!E:M,9,FALSE)</f>
        <v>#N/A</v>
      </c>
    </row>
    <row r="671" s="26" customFormat="1" hidden="1" spans="2:17">
      <c r="B671" s="40" t="s">
        <v>99</v>
      </c>
      <c r="C671" s="70">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8"/>
      <c r="M671" s="95">
        <v>45709</v>
      </c>
      <c r="O671" s="26">
        <f ca="1" t="shared" si="16"/>
        <v>0</v>
      </c>
      <c r="P671" s="62">
        <f ca="1" t="shared" si="17"/>
        <v>251</v>
      </c>
      <c r="Q671" s="26" t="e">
        <f>VLOOKUP(B671,辅助信息!E:M,9,FALSE)</f>
        <v>#N/A</v>
      </c>
    </row>
    <row r="672" s="26" customFormat="1" hidden="1" spans="2:17">
      <c r="B672" s="40" t="s">
        <v>99</v>
      </c>
      <c r="C672" s="70">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6"/>
      <c r="M672" s="95">
        <v>45709</v>
      </c>
      <c r="O672" s="26">
        <f ca="1" t="shared" si="16"/>
        <v>0</v>
      </c>
      <c r="P672" s="62">
        <f ca="1" t="shared" si="17"/>
        <v>251</v>
      </c>
      <c r="Q672" s="26" t="e">
        <f>VLOOKUP(B672,辅助信息!E:M,9,FALSE)</f>
        <v>#N/A</v>
      </c>
    </row>
    <row r="673" s="26" customFormat="1" hidden="1" spans="2:17">
      <c r="B673" s="40" t="s">
        <v>31</v>
      </c>
      <c r="C673" s="70">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5">
        <v>45708</v>
      </c>
      <c r="O673" s="26">
        <f ca="1" t="shared" si="16"/>
        <v>0</v>
      </c>
      <c r="P673" s="62">
        <f ca="1" t="shared" si="17"/>
        <v>252</v>
      </c>
      <c r="Q673" s="26" t="str">
        <f>VLOOKUP(B673,辅助信息!E:M,9,FALSE)</f>
        <v>ZTWM-CDGS-XS-2024-0179-四川商投-射洪城乡一体化建设项目</v>
      </c>
    </row>
    <row r="674" s="26" customFormat="1" hidden="1" spans="2:17">
      <c r="B674" s="40" t="s">
        <v>31</v>
      </c>
      <c r="C674" s="70">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6"/>
      <c r="M674" s="95">
        <v>45708</v>
      </c>
      <c r="O674" s="26">
        <f ca="1" t="shared" si="16"/>
        <v>0</v>
      </c>
      <c r="P674" s="62">
        <f ca="1" t="shared" si="17"/>
        <v>252</v>
      </c>
      <c r="Q674" s="26" t="str">
        <f>VLOOKUP(B674,辅助信息!E:M,9,FALSE)</f>
        <v>ZTWM-CDGS-XS-2024-0179-四川商投-射洪城乡一体化建设项目</v>
      </c>
    </row>
    <row r="675" hidden="1" spans="2:18">
      <c r="B675" s="40" t="s">
        <v>25</v>
      </c>
      <c r="C675" s="70">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5">
        <v>45712</v>
      </c>
      <c r="N675" s="57"/>
      <c r="O675" s="26">
        <f ca="1" t="shared" si="16"/>
        <v>0</v>
      </c>
      <c r="P675" s="62">
        <f ca="1" t="shared" si="17"/>
        <v>248</v>
      </c>
      <c r="Q675" s="26" t="e">
        <f>VLOOKUP(B675,辅助信息!E:M,9,FALSE)</f>
        <v>#N/A</v>
      </c>
      <c r="R675" s="26"/>
    </row>
    <row r="676" hidden="1" spans="2:18">
      <c r="B676" s="40" t="s">
        <v>25</v>
      </c>
      <c r="C676" s="70">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8"/>
      <c r="M676" s="95">
        <v>45712</v>
      </c>
      <c r="N676" s="57"/>
      <c r="O676" s="26">
        <f ca="1" t="shared" si="16"/>
        <v>0</v>
      </c>
      <c r="P676" s="62">
        <f ca="1" t="shared" si="17"/>
        <v>248</v>
      </c>
      <c r="Q676" s="26" t="e">
        <f>VLOOKUP(B676,辅助信息!E:M,9,FALSE)</f>
        <v>#N/A</v>
      </c>
      <c r="R676" s="26"/>
    </row>
    <row r="677" hidden="1" spans="2:18">
      <c r="B677" s="40" t="s">
        <v>25</v>
      </c>
      <c r="C677" s="70">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8"/>
      <c r="M677" s="95">
        <v>45712</v>
      </c>
      <c r="N677" s="57"/>
      <c r="O677" s="26">
        <f ca="1" t="shared" si="16"/>
        <v>0</v>
      </c>
      <c r="P677" s="62">
        <f ca="1" t="shared" si="17"/>
        <v>248</v>
      </c>
      <c r="Q677" s="26" t="e">
        <f>VLOOKUP(B677,辅助信息!E:M,9,FALSE)</f>
        <v>#N/A</v>
      </c>
      <c r="R677" s="26"/>
    </row>
    <row r="678" hidden="1" spans="2:18">
      <c r="B678" s="40" t="s">
        <v>25</v>
      </c>
      <c r="C678" s="70">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8"/>
      <c r="M678" s="95">
        <v>45712</v>
      </c>
      <c r="N678" s="57"/>
      <c r="O678" s="26">
        <f ca="1" t="shared" si="16"/>
        <v>0</v>
      </c>
      <c r="P678" s="62">
        <f ca="1" t="shared" si="17"/>
        <v>248</v>
      </c>
      <c r="Q678" s="26" t="e">
        <f>VLOOKUP(B678,辅助信息!E:M,9,FALSE)</f>
        <v>#N/A</v>
      </c>
      <c r="R678" s="26"/>
    </row>
    <row r="679" hidden="1" spans="2:18">
      <c r="B679" s="40" t="s">
        <v>25</v>
      </c>
      <c r="C679" s="70">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8"/>
      <c r="M679" s="95">
        <v>45712</v>
      </c>
      <c r="N679" s="57"/>
      <c r="O679" s="26">
        <f ca="1" t="shared" si="16"/>
        <v>0</v>
      </c>
      <c r="P679" s="62">
        <f ca="1" t="shared" si="17"/>
        <v>248</v>
      </c>
      <c r="Q679" s="26" t="e">
        <f>VLOOKUP(B679,辅助信息!E:M,9,FALSE)</f>
        <v>#N/A</v>
      </c>
      <c r="R679" s="26"/>
    </row>
    <row r="680" hidden="1" spans="2:18">
      <c r="B680" s="40" t="s">
        <v>25</v>
      </c>
      <c r="C680" s="70">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6"/>
      <c r="M680" s="95">
        <v>45712</v>
      </c>
      <c r="N680" s="57"/>
      <c r="O680" s="26">
        <f ca="1" t="shared" si="16"/>
        <v>0</v>
      </c>
      <c r="P680" s="62">
        <f ca="1" t="shared" si="17"/>
        <v>248</v>
      </c>
      <c r="Q680" s="26" t="e">
        <f>VLOOKUP(B680,辅助信息!E:M,9,FALSE)</f>
        <v>#N/A</v>
      </c>
      <c r="R680" s="26"/>
    </row>
    <row r="681" hidden="1" spans="2:18">
      <c r="B681" s="40" t="s">
        <v>74</v>
      </c>
      <c r="C681" s="70">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5">
        <v>45718</v>
      </c>
      <c r="N681" s="57"/>
      <c r="O681" s="26">
        <f ca="1" t="shared" si="16"/>
        <v>0</v>
      </c>
      <c r="P681" s="62">
        <f ca="1" t="shared" si="17"/>
        <v>242</v>
      </c>
      <c r="Q681" s="26" t="e">
        <f>VLOOKUP(B681,辅助信息!E:M,9,FALSE)</f>
        <v>#N/A</v>
      </c>
      <c r="R681" s="26"/>
    </row>
    <row r="682" hidden="1" spans="2:18">
      <c r="B682" s="40" t="s">
        <v>74</v>
      </c>
      <c r="C682" s="70">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8"/>
      <c r="M682" s="95">
        <v>45718</v>
      </c>
      <c r="N682" s="57"/>
      <c r="O682" s="26">
        <f ca="1" t="shared" si="16"/>
        <v>0</v>
      </c>
      <c r="P682" s="62">
        <f ca="1" t="shared" si="17"/>
        <v>242</v>
      </c>
      <c r="Q682" s="26" t="e">
        <f>VLOOKUP(B682,辅助信息!E:M,9,FALSE)</f>
        <v>#N/A</v>
      </c>
      <c r="R682" s="26"/>
    </row>
    <row r="683" hidden="1" spans="2:18">
      <c r="B683" s="40" t="s">
        <v>74</v>
      </c>
      <c r="C683" s="70">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8"/>
      <c r="M683" s="95">
        <v>45718</v>
      </c>
      <c r="N683" s="57"/>
      <c r="O683" s="26">
        <f ca="1" t="shared" si="16"/>
        <v>0</v>
      </c>
      <c r="P683" s="62">
        <f ca="1" t="shared" si="17"/>
        <v>242</v>
      </c>
      <c r="Q683" s="26" t="e">
        <f>VLOOKUP(B683,辅助信息!E:M,9,FALSE)</f>
        <v>#N/A</v>
      </c>
      <c r="R683" s="26"/>
    </row>
    <row r="684" hidden="1" spans="2:18">
      <c r="B684" s="40" t="s">
        <v>74</v>
      </c>
      <c r="C684" s="70">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8"/>
      <c r="M684" s="95">
        <v>45718</v>
      </c>
      <c r="N684" s="57"/>
      <c r="O684" s="26">
        <f ca="1" t="shared" si="16"/>
        <v>0</v>
      </c>
      <c r="P684" s="62">
        <f ca="1" t="shared" si="17"/>
        <v>242</v>
      </c>
      <c r="Q684" s="26" t="e">
        <f>VLOOKUP(B684,辅助信息!E:M,9,FALSE)</f>
        <v>#N/A</v>
      </c>
      <c r="R684" s="26"/>
    </row>
    <row r="685" hidden="1" spans="2:18">
      <c r="B685" s="40" t="s">
        <v>74</v>
      </c>
      <c r="C685" s="70">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6"/>
      <c r="M685" s="95">
        <v>45718</v>
      </c>
      <c r="N685" s="57"/>
      <c r="O685" s="26">
        <f ca="1" t="shared" si="16"/>
        <v>0</v>
      </c>
      <c r="P685" s="62">
        <f ca="1" t="shared" si="17"/>
        <v>242</v>
      </c>
      <c r="Q685" s="26" t="e">
        <f>VLOOKUP(B685,辅助信息!E:M,9,FALSE)</f>
        <v>#N/A</v>
      </c>
      <c r="R685" s="26"/>
    </row>
    <row r="686" hidden="1" spans="2:18">
      <c r="B686" s="40" t="s">
        <v>63</v>
      </c>
      <c r="C686" s="70">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5">
        <v>45714</v>
      </c>
      <c r="N686" s="57"/>
      <c r="O686" s="26">
        <f ca="1" t="shared" si="16"/>
        <v>0</v>
      </c>
      <c r="P686" s="62">
        <f ca="1" t="shared" si="17"/>
        <v>246</v>
      </c>
      <c r="Q686" s="26" t="e">
        <f>VLOOKUP(B686,辅助信息!E:M,9,FALSE)</f>
        <v>#N/A</v>
      </c>
      <c r="R686" s="26"/>
    </row>
    <row r="687" hidden="1" spans="2:18">
      <c r="B687" s="40" t="s">
        <v>63</v>
      </c>
      <c r="C687" s="70">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6"/>
      <c r="M687" s="95">
        <v>45714</v>
      </c>
      <c r="N687" s="57"/>
      <c r="O687" s="26">
        <f ca="1" t="shared" si="16"/>
        <v>0</v>
      </c>
      <c r="P687" s="62">
        <f ca="1" t="shared" si="17"/>
        <v>246</v>
      </c>
      <c r="Q687" s="26" t="e">
        <f>VLOOKUP(B687,辅助信息!E:M,9,FALSE)</f>
        <v>#N/A</v>
      </c>
      <c r="R687" s="26"/>
    </row>
    <row r="688" hidden="1" spans="2:18">
      <c r="B688" s="40" t="s">
        <v>75</v>
      </c>
      <c r="C688" s="70">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5">
        <v>45716</v>
      </c>
      <c r="N688" s="57"/>
      <c r="O688" s="26">
        <f ca="1" t="shared" si="16"/>
        <v>0</v>
      </c>
      <c r="P688" s="62">
        <f ca="1" t="shared" si="17"/>
        <v>244</v>
      </c>
      <c r="Q688" s="26" t="e">
        <f>VLOOKUP(B688,辅助信息!E:M,9,FALSE)</f>
        <v>#N/A</v>
      </c>
      <c r="R688" s="26"/>
    </row>
    <row r="689" hidden="1" spans="2:18">
      <c r="B689" s="40" t="s">
        <v>75</v>
      </c>
      <c r="C689" s="70">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8"/>
      <c r="M689" s="95">
        <v>45716</v>
      </c>
      <c r="N689" s="57"/>
      <c r="O689" s="26">
        <f ca="1" t="shared" si="16"/>
        <v>0</v>
      </c>
      <c r="P689" s="62">
        <f ca="1" t="shared" si="17"/>
        <v>244</v>
      </c>
      <c r="Q689" s="26" t="e">
        <f>VLOOKUP(B689,辅助信息!E:M,9,FALSE)</f>
        <v>#N/A</v>
      </c>
      <c r="R689" s="26"/>
    </row>
    <row r="690" hidden="1" spans="2:18">
      <c r="B690" s="40" t="s">
        <v>75</v>
      </c>
      <c r="C690" s="70">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8"/>
      <c r="M690" s="95">
        <v>45716</v>
      </c>
      <c r="N690" s="57"/>
      <c r="O690" s="26">
        <f ca="1" t="shared" ref="O690:O712" si="18">IF(OR(M690="",N690&lt;&gt;""),"",MAX(M690-TODAY(),0))</f>
        <v>0</v>
      </c>
      <c r="P690" s="62">
        <f ca="1" t="shared" ref="P690:P712" si="19">IF(M690="","",IF(N690&lt;&gt;"",MAX(N690-M690,0),IF(TODAY()&gt;M690,TODAY()-M690,0)))</f>
        <v>244</v>
      </c>
      <c r="Q690" s="26" t="e">
        <f>VLOOKUP(B690,辅助信息!E:M,9,FALSE)</f>
        <v>#N/A</v>
      </c>
      <c r="R690" s="26"/>
    </row>
    <row r="691" hidden="1" spans="2:18">
      <c r="B691" s="40" t="s">
        <v>75</v>
      </c>
      <c r="C691" s="70">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8"/>
      <c r="M691" s="95">
        <v>45716</v>
      </c>
      <c r="N691" s="57"/>
      <c r="O691" s="26">
        <f ca="1" t="shared" si="18"/>
        <v>0</v>
      </c>
      <c r="P691" s="62">
        <f ca="1" t="shared" si="19"/>
        <v>244</v>
      </c>
      <c r="Q691" s="26" t="e">
        <f>VLOOKUP(B691,辅助信息!E:M,9,FALSE)</f>
        <v>#N/A</v>
      </c>
      <c r="R691" s="26"/>
    </row>
    <row r="692" hidden="1" spans="2:18">
      <c r="B692" s="40" t="s">
        <v>75</v>
      </c>
      <c r="C692" s="70">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6"/>
      <c r="M692" s="95">
        <v>45716</v>
      </c>
      <c r="N692" s="57"/>
      <c r="O692" s="26">
        <f ca="1" t="shared" si="18"/>
        <v>0</v>
      </c>
      <c r="P692" s="62">
        <f ca="1" t="shared" si="19"/>
        <v>244</v>
      </c>
      <c r="Q692" s="26" t="e">
        <f>VLOOKUP(B692,辅助信息!E:M,9,FALSE)</f>
        <v>#N/A</v>
      </c>
      <c r="R692" s="26"/>
    </row>
    <row r="693" hidden="1" spans="2:18">
      <c r="B693" s="40" t="s">
        <v>25</v>
      </c>
      <c r="C693" s="70">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7" t="e">
        <f>VLOOKUP(B694,辅助信息!E:J,6,FALSE)</f>
        <v>#N/A</v>
      </c>
      <c r="M693" s="91">
        <v>45712</v>
      </c>
      <c r="O693" s="62">
        <f ca="1" t="shared" si="18"/>
        <v>0</v>
      </c>
      <c r="P693" s="62">
        <f ca="1" t="shared" si="19"/>
        <v>248</v>
      </c>
      <c r="Q693" s="26"/>
      <c r="R693" s="26"/>
    </row>
    <row r="694" hidden="1" spans="2:18">
      <c r="B694" s="40" t="s">
        <v>25</v>
      </c>
      <c r="C694" s="70">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1">
        <v>45712</v>
      </c>
      <c r="O694" s="62">
        <f ca="1" t="shared" si="18"/>
        <v>0</v>
      </c>
      <c r="P694" s="62">
        <f ca="1" t="shared" si="19"/>
        <v>248</v>
      </c>
      <c r="Q694" s="26" t="e">
        <f>VLOOKUP(B694,辅助信息!E:M,9,FALSE)</f>
        <v>#N/A</v>
      </c>
      <c r="R694" s="26"/>
    </row>
    <row r="695" hidden="1" spans="2:18">
      <c r="B695" s="40" t="s">
        <v>25</v>
      </c>
      <c r="C695" s="70">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1">
        <v>45712</v>
      </c>
      <c r="O695" s="62">
        <f ca="1" t="shared" si="18"/>
        <v>0</v>
      </c>
      <c r="P695" s="62">
        <f ca="1" t="shared" si="19"/>
        <v>248</v>
      </c>
      <c r="Q695" s="26" t="e">
        <f>VLOOKUP(B695,辅助信息!E:M,9,FALSE)</f>
        <v>#N/A</v>
      </c>
      <c r="R695" s="26"/>
    </row>
    <row r="696" hidden="1" spans="2:18">
      <c r="B696" s="40" t="s">
        <v>25</v>
      </c>
      <c r="C696" s="70">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1">
        <v>45712</v>
      </c>
      <c r="O696" s="62">
        <f ca="1" t="shared" si="18"/>
        <v>0</v>
      </c>
      <c r="P696" s="62">
        <f ca="1" t="shared" si="19"/>
        <v>248</v>
      </c>
      <c r="Q696" s="26" t="e">
        <f>VLOOKUP(B696,辅助信息!E:M,9,FALSE)</f>
        <v>#N/A</v>
      </c>
      <c r="R696" s="26"/>
    </row>
    <row r="697" hidden="1" spans="2:18">
      <c r="B697" s="40" t="s">
        <v>63</v>
      </c>
      <c r="C697" s="70">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7" t="e">
        <f>VLOOKUP(B697,辅助信息!E:J,6,FALSE)</f>
        <v>#N/A</v>
      </c>
      <c r="M697" s="91">
        <v>45714</v>
      </c>
      <c r="O697" s="62">
        <f ca="1" t="shared" si="18"/>
        <v>0</v>
      </c>
      <c r="P697" s="62">
        <f ca="1" t="shared" si="19"/>
        <v>246</v>
      </c>
      <c r="Q697" s="26" t="e">
        <f>VLOOKUP(B697,辅助信息!E:M,9,FALSE)</f>
        <v>#N/A</v>
      </c>
      <c r="R697" s="26"/>
    </row>
    <row r="698" hidden="1" spans="2:18">
      <c r="B698" s="40" t="s">
        <v>63</v>
      </c>
      <c r="C698" s="70">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1">
        <v>45714</v>
      </c>
      <c r="O698" s="62">
        <f ca="1" t="shared" si="18"/>
        <v>0</v>
      </c>
      <c r="P698" s="62">
        <f ca="1" t="shared" si="19"/>
        <v>246</v>
      </c>
      <c r="Q698" s="26" t="e">
        <f>VLOOKUP(B698,辅助信息!E:M,9,FALSE)</f>
        <v>#N/A</v>
      </c>
      <c r="R698" s="26"/>
    </row>
    <row r="699" hidden="1" spans="2:18">
      <c r="B699" s="40" t="s">
        <v>75</v>
      </c>
      <c r="C699" s="70">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7" t="e">
        <f>VLOOKUP(B699,辅助信息!E:J,6,FALSE)</f>
        <v>#N/A</v>
      </c>
      <c r="M699" s="91">
        <v>45716</v>
      </c>
      <c r="O699" s="62">
        <f ca="1" t="shared" si="18"/>
        <v>0</v>
      </c>
      <c r="P699" s="62">
        <f ca="1" t="shared" si="19"/>
        <v>244</v>
      </c>
      <c r="Q699" s="26" t="e">
        <f>VLOOKUP(B699,辅助信息!E:M,9,FALSE)</f>
        <v>#N/A</v>
      </c>
      <c r="R699" s="26"/>
    </row>
    <row r="700" hidden="1" spans="2:18">
      <c r="B700" s="40" t="s">
        <v>75</v>
      </c>
      <c r="C700" s="70">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1">
        <v>45716</v>
      </c>
      <c r="O700" s="62">
        <f ca="1" t="shared" si="18"/>
        <v>0</v>
      </c>
      <c r="P700" s="62">
        <f ca="1" t="shared" si="19"/>
        <v>244</v>
      </c>
      <c r="Q700" s="26" t="e">
        <f>VLOOKUP(B700,辅助信息!E:M,9,FALSE)</f>
        <v>#N/A</v>
      </c>
      <c r="R700" s="26"/>
    </row>
    <row r="701" hidden="1" spans="2:18">
      <c r="B701" s="83" t="s">
        <v>75</v>
      </c>
      <c r="C701" s="70">
        <v>45713</v>
      </c>
      <c r="D701" s="83" t="e">
        <f>VLOOKUP(B701,辅助信息!E:K,7,FALSE)</f>
        <v>#N/A</v>
      </c>
      <c r="E701" s="83" t="str">
        <f>VLOOKUP(F701,辅助信息!A:B,2,FALSE)</f>
        <v>螺纹钢</v>
      </c>
      <c r="F701" s="83" t="s">
        <v>86</v>
      </c>
      <c r="G701" s="85">
        <v>30</v>
      </c>
      <c r="H701" s="85" t="e">
        <f>_xlfn._xlws.FILTER('[1]2025年已发货'!$E:$E,'[1]2025年已发货'!$F:$F&amp;'[1]2025年已发货'!$C:$C&amp;'[1]2025年已发货'!$G:$G&amp;'[1]2025年已发货'!$H:$H=C701&amp;F701&amp;I701&amp;J701,"未发货")</f>
        <v>#N/A</v>
      </c>
      <c r="I701" s="83" t="e">
        <f>VLOOKUP(B701,辅助信息!E:I,3,FALSE)</f>
        <v>#N/A</v>
      </c>
      <c r="J701" s="83" t="e">
        <f>VLOOKUP(B701,辅助信息!E:I,4,FALSE)</f>
        <v>#N/A</v>
      </c>
      <c r="K701" s="83" t="e">
        <f>VLOOKUP(J701,辅助信息!H:I,2,FALSE)</f>
        <v>#N/A</v>
      </c>
      <c r="M701" s="91">
        <v>45716</v>
      </c>
      <c r="O701" s="62">
        <f ca="1" t="shared" si="18"/>
        <v>0</v>
      </c>
      <c r="P701" s="62">
        <f ca="1" t="shared" si="19"/>
        <v>244</v>
      </c>
      <c r="Q701" s="26" t="e">
        <f>VLOOKUP(B701,辅助信息!E:M,9,FALSE)</f>
        <v>#N/A</v>
      </c>
      <c r="R701" s="26"/>
    </row>
    <row r="702" hidden="1" spans="1:18">
      <c r="A702" s="82" t="s">
        <v>96</v>
      </c>
      <c r="B702" s="40" t="s">
        <v>43</v>
      </c>
      <c r="C702" s="70">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7" t="str">
        <f>VLOOKUP(B702,辅助信息!E:J,6,FALSE)</f>
        <v>提前联系到场规格,一天到场车辆不低于2车</v>
      </c>
      <c r="M702" s="91">
        <v>45714</v>
      </c>
      <c r="O702" s="62">
        <f ca="1" t="shared" si="18"/>
        <v>0</v>
      </c>
      <c r="P702" s="62">
        <f ca="1" t="shared" si="19"/>
        <v>246</v>
      </c>
      <c r="Q702" s="26"/>
      <c r="R702" s="26"/>
    </row>
    <row r="703" hidden="1" spans="1:18">
      <c r="A703" s="78"/>
      <c r="B703" s="40" t="s">
        <v>43</v>
      </c>
      <c r="C703" s="70">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8"/>
      <c r="M703" s="91">
        <v>45714</v>
      </c>
      <c r="O703" s="62">
        <f ca="1" t="shared" si="18"/>
        <v>0</v>
      </c>
      <c r="P703" s="62">
        <f ca="1" t="shared" si="19"/>
        <v>246</v>
      </c>
      <c r="Q703" s="26"/>
      <c r="R703" s="26"/>
    </row>
    <row r="704" hidden="1" spans="1:18">
      <c r="A704" s="78"/>
      <c r="B704" s="40" t="s">
        <v>43</v>
      </c>
      <c r="C704" s="70">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8"/>
      <c r="M704" s="91">
        <v>45714</v>
      </c>
      <c r="O704" s="62">
        <f ca="1" t="shared" si="18"/>
        <v>0</v>
      </c>
      <c r="P704" s="62">
        <f ca="1" t="shared" si="19"/>
        <v>246</v>
      </c>
      <c r="Q704" s="26"/>
      <c r="R704" s="26"/>
    </row>
    <row r="705" hidden="1" spans="1:18">
      <c r="A705" s="78"/>
      <c r="B705" s="40" t="s">
        <v>104</v>
      </c>
      <c r="C705" s="70">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8"/>
      <c r="M705" s="91">
        <v>45714</v>
      </c>
      <c r="O705" s="62">
        <f ca="1" t="shared" si="18"/>
        <v>0</v>
      </c>
      <c r="P705" s="62">
        <f ca="1" t="shared" si="19"/>
        <v>246</v>
      </c>
      <c r="Q705" s="26"/>
      <c r="R705" s="26"/>
    </row>
    <row r="706" hidden="1" spans="1:18">
      <c r="A706" s="78"/>
      <c r="B706" s="40" t="s">
        <v>104</v>
      </c>
      <c r="C706" s="70">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8"/>
      <c r="M706" s="91">
        <v>45714</v>
      </c>
      <c r="O706" s="62">
        <f ca="1" t="shared" si="18"/>
        <v>0</v>
      </c>
      <c r="P706" s="62">
        <f ca="1" t="shared" si="19"/>
        <v>246</v>
      </c>
      <c r="Q706" s="26"/>
      <c r="R706" s="26"/>
    </row>
    <row r="707" hidden="1" spans="1:18">
      <c r="A707" s="76"/>
      <c r="B707" s="40" t="s">
        <v>104</v>
      </c>
      <c r="C707" s="70">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6"/>
      <c r="M707" s="91">
        <v>45714</v>
      </c>
      <c r="O707" s="62">
        <f ca="1" t="shared" si="18"/>
        <v>0</v>
      </c>
      <c r="P707" s="62">
        <f ca="1" t="shared" si="19"/>
        <v>246</v>
      </c>
      <c r="Q707" s="26"/>
      <c r="R707" s="26"/>
    </row>
    <row r="708" hidden="1" spans="1:18">
      <c r="A708" s="99" t="s">
        <v>105</v>
      </c>
      <c r="B708" s="40" t="s">
        <v>99</v>
      </c>
      <c r="C708" s="70">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2" t="s">
        <v>34</v>
      </c>
      <c r="M708" s="95">
        <v>45709</v>
      </c>
      <c r="N708" s="26"/>
      <c r="O708" s="26">
        <f ca="1" t="shared" si="18"/>
        <v>0</v>
      </c>
      <c r="P708" s="26">
        <f ca="1" t="shared" si="19"/>
        <v>251</v>
      </c>
      <c r="Q708" s="26" t="e">
        <f>VLOOKUP(B708,辅助信息!E:M,9,FALSE)</f>
        <v>#N/A</v>
      </c>
      <c r="R708" s="26"/>
    </row>
    <row r="709" hidden="1" spans="1:18">
      <c r="A709" s="78"/>
      <c r="B709" s="40" t="s">
        <v>99</v>
      </c>
      <c r="C709" s="70">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5">
        <v>45709</v>
      </c>
      <c r="N709" s="26"/>
      <c r="O709" s="26">
        <f ca="1" t="shared" si="18"/>
        <v>0</v>
      </c>
      <c r="P709" s="26">
        <f ca="1" t="shared" si="19"/>
        <v>251</v>
      </c>
      <c r="Q709" s="26" t="e">
        <f>VLOOKUP(B709,辅助信息!E:M,9,FALSE)</f>
        <v>#N/A</v>
      </c>
      <c r="R709" s="26"/>
    </row>
    <row r="710" hidden="1" spans="1:18">
      <c r="A710" s="78"/>
      <c r="B710" s="40" t="s">
        <v>99</v>
      </c>
      <c r="C710" s="70">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5">
        <v>45709</v>
      </c>
      <c r="N710" s="26"/>
      <c r="O710" s="26">
        <f ca="1" t="shared" si="18"/>
        <v>0</v>
      </c>
      <c r="P710" s="26">
        <f ca="1" t="shared" si="19"/>
        <v>251</v>
      </c>
      <c r="Q710" s="26" t="e">
        <f>VLOOKUP(B710,辅助信息!E:M,9,FALSE)</f>
        <v>#N/A</v>
      </c>
      <c r="R710" s="26"/>
    </row>
    <row r="711" hidden="1" spans="1:18">
      <c r="A711" s="78"/>
      <c r="B711" s="40" t="s">
        <v>99</v>
      </c>
      <c r="C711" s="70">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5">
        <v>45709</v>
      </c>
      <c r="N711" s="26"/>
      <c r="O711" s="26">
        <f ca="1" t="shared" si="18"/>
        <v>0</v>
      </c>
      <c r="P711" s="26">
        <f ca="1" t="shared" si="19"/>
        <v>251</v>
      </c>
      <c r="Q711" s="26" t="e">
        <f>VLOOKUP(B711,辅助信息!E:M,9,FALSE)</f>
        <v>#N/A</v>
      </c>
      <c r="R711" s="26"/>
    </row>
    <row r="712" hidden="1" spans="1:18">
      <c r="A712" s="76"/>
      <c r="B712" s="40" t="s">
        <v>99</v>
      </c>
      <c r="C712" s="70">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5">
        <v>45709</v>
      </c>
      <c r="N712" s="26"/>
      <c r="O712" s="26">
        <f ca="1" t="shared" si="18"/>
        <v>0</v>
      </c>
      <c r="P712" s="26">
        <f ca="1" t="shared" si="19"/>
        <v>251</v>
      </c>
      <c r="Q712" s="26" t="e">
        <f>VLOOKUP(B712,辅助信息!E:M,9,FALSE)</f>
        <v>#N/A</v>
      </c>
      <c r="R712" s="26"/>
    </row>
    <row r="713" hidden="1" spans="2:18">
      <c r="B713" s="40" t="s">
        <v>79</v>
      </c>
      <c r="C713" s="70">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7" t="e">
        <f>VLOOKUP(B713,辅助信息!E:J,6,FALSE)</f>
        <v>#N/A</v>
      </c>
      <c r="M713" s="57"/>
      <c r="N713" s="57"/>
      <c r="O713" s="57"/>
      <c r="P713" s="57"/>
      <c r="Q713" s="26"/>
      <c r="R713" s="26"/>
    </row>
    <row r="714" hidden="1" spans="2:18">
      <c r="B714" s="40" t="s">
        <v>79</v>
      </c>
      <c r="C714" s="70">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7"/>
      <c r="N714" s="57"/>
      <c r="O714" s="57"/>
      <c r="P714" s="57"/>
      <c r="Q714" s="26"/>
      <c r="R714" s="26"/>
    </row>
    <row r="715" hidden="1" spans="2:18">
      <c r="B715" s="40" t="s">
        <v>79</v>
      </c>
      <c r="C715" s="70">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7"/>
      <c r="N715" s="57"/>
      <c r="O715" s="57"/>
      <c r="P715" s="57"/>
      <c r="Q715" s="26"/>
      <c r="R715" s="26"/>
    </row>
    <row r="716" hidden="1" spans="2:18">
      <c r="B716" s="40" t="s">
        <v>79</v>
      </c>
      <c r="C716" s="70">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7"/>
      <c r="N716" s="57"/>
      <c r="O716" s="57"/>
      <c r="P716" s="57"/>
      <c r="Q716" s="26"/>
      <c r="R716" s="26"/>
    </row>
    <row r="717" hidden="1" spans="2:18">
      <c r="B717" s="83" t="s">
        <v>79</v>
      </c>
      <c r="C717" s="84">
        <v>45713</v>
      </c>
      <c r="D717" s="83" t="e">
        <f>VLOOKUP(B717,辅助信息!E:K,7,FALSE)</f>
        <v>#N/A</v>
      </c>
      <c r="E717" s="83" t="str">
        <f>VLOOKUP(F717,辅助信息!A:B,2,FALSE)</f>
        <v>螺纹钢</v>
      </c>
      <c r="F717" s="83" t="s">
        <v>18</v>
      </c>
      <c r="G717" s="85">
        <v>45</v>
      </c>
      <c r="H717" s="83" t="e">
        <f>_xlfn._xlws.FILTER('[1]2025年已发货'!$E:$E,'[1]2025年已发货'!$F:$F&amp;'[1]2025年已发货'!$C:$C&amp;'[1]2025年已发货'!$G:$G&amp;'[1]2025年已发货'!$H:$H=C717&amp;F717&amp;I717&amp;J717,"未发货")</f>
        <v>#N/A</v>
      </c>
      <c r="I717" s="83" t="e">
        <f>VLOOKUP(B717,辅助信息!E:I,3,FALSE)</f>
        <v>#N/A</v>
      </c>
      <c r="J717" s="83" t="e">
        <f>VLOOKUP(B717,辅助信息!E:I,4,FALSE)</f>
        <v>#N/A</v>
      </c>
      <c r="K717" s="83" t="e">
        <f>VLOOKUP(J717,辅助信息!H:I,2,FALSE)</f>
        <v>#N/A</v>
      </c>
      <c r="M717" s="57"/>
      <c r="N717" s="57"/>
      <c r="O717" s="57"/>
      <c r="P717" s="57"/>
      <c r="Q717" s="26"/>
      <c r="R717" s="26"/>
    </row>
    <row r="718" hidden="1" spans="2:18">
      <c r="B718" s="40" t="s">
        <v>75</v>
      </c>
      <c r="C718" s="70">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7"/>
      <c r="M718" s="100">
        <v>45716</v>
      </c>
      <c r="N718" s="57"/>
      <c r="O718" s="57">
        <f ca="1" t="shared" ref="O718:O781" si="20">IF(OR(M718="",N718&lt;&gt;""),"",MAX(M718-TODAY(),0))</f>
        <v>0</v>
      </c>
      <c r="P718" s="57">
        <f ca="1" t="shared" ref="P718:P781" si="21">IF(M718="","",IF(N718&lt;&gt;"",MAX(N718-M718,0),IF(TODAY()&gt;M718,TODAY()-M718,0)))</f>
        <v>244</v>
      </c>
      <c r="Q718" s="26" t="e">
        <f>VLOOKUP(B718,辅助信息!E:M,9,FALSE)</f>
        <v>#N/A</v>
      </c>
      <c r="R718" s="26"/>
    </row>
    <row r="719" hidden="1" spans="2:18">
      <c r="B719" s="40" t="s">
        <v>106</v>
      </c>
      <c r="C719" s="70">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7" t="str">
        <f>VLOOKUP(B719,辅助信息!E:J,6,FALSE)</f>
        <v>提前联系到场规格</v>
      </c>
      <c r="M719" s="100">
        <v>45716</v>
      </c>
      <c r="N719" s="57"/>
      <c r="O719" s="57">
        <f ca="1" t="shared" si="20"/>
        <v>0</v>
      </c>
      <c r="P719" s="57">
        <f ca="1" t="shared" si="21"/>
        <v>244</v>
      </c>
      <c r="Q719" s="26" t="str">
        <f>VLOOKUP(B719,辅助信息!E:M,9,FALSE)</f>
        <v>ZTWM-CDGS-XS-2024-0169-中冶西部钢构-宜宾市南溪区幸福路东路,高县月江镇建设项目</v>
      </c>
      <c r="R719" s="26"/>
    </row>
    <row r="720" hidden="1" spans="2:18">
      <c r="B720" s="40" t="s">
        <v>106</v>
      </c>
      <c r="C720" s="70">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8"/>
      <c r="M720" s="100">
        <v>45716</v>
      </c>
      <c r="N720" s="57"/>
      <c r="O720" s="57">
        <f ca="1" t="shared" si="20"/>
        <v>0</v>
      </c>
      <c r="P720" s="57">
        <f ca="1" t="shared" si="21"/>
        <v>244</v>
      </c>
      <c r="Q720" s="26" t="str">
        <f>VLOOKUP(B720,辅助信息!E:M,9,FALSE)</f>
        <v>ZTWM-CDGS-XS-2024-0169-中冶西部钢构-宜宾市南溪区幸福路东路,高县月江镇建设项目</v>
      </c>
      <c r="R720" s="26"/>
    </row>
    <row r="721" hidden="1" spans="2:18">
      <c r="B721" s="40" t="s">
        <v>106</v>
      </c>
      <c r="C721" s="70">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8"/>
      <c r="M721" s="100">
        <v>45716</v>
      </c>
      <c r="N721" s="57"/>
      <c r="O721" s="57">
        <f ca="1" t="shared" si="20"/>
        <v>0</v>
      </c>
      <c r="P721" s="57">
        <f ca="1" t="shared" si="21"/>
        <v>244</v>
      </c>
      <c r="Q721" s="26" t="str">
        <f>VLOOKUP(B721,辅助信息!E:M,9,FALSE)</f>
        <v>ZTWM-CDGS-XS-2024-0169-中冶西部钢构-宜宾市南溪区幸福路东路,高县月江镇建设项目</v>
      </c>
      <c r="R721" s="26"/>
    </row>
    <row r="722" hidden="1" spans="2:18">
      <c r="B722" s="40" t="s">
        <v>106</v>
      </c>
      <c r="C722" s="70">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8"/>
      <c r="M722" s="100">
        <v>45716</v>
      </c>
      <c r="N722" s="57"/>
      <c r="O722" s="57">
        <f ca="1" t="shared" si="20"/>
        <v>0</v>
      </c>
      <c r="P722" s="57">
        <f ca="1" t="shared" si="21"/>
        <v>244</v>
      </c>
      <c r="Q722" s="26" t="str">
        <f>VLOOKUP(B722,辅助信息!E:M,9,FALSE)</f>
        <v>ZTWM-CDGS-XS-2024-0169-中冶西部钢构-宜宾市南溪区幸福路东路,高县月江镇建设项目</v>
      </c>
      <c r="R722" s="26"/>
    </row>
    <row r="723" hidden="1" spans="2:18">
      <c r="B723" s="40" t="s">
        <v>106</v>
      </c>
      <c r="C723" s="70">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8"/>
      <c r="M723" s="100">
        <v>45716</v>
      </c>
      <c r="N723" s="57"/>
      <c r="O723" s="57">
        <f ca="1" t="shared" si="20"/>
        <v>0</v>
      </c>
      <c r="P723" s="57">
        <f ca="1" t="shared" si="21"/>
        <v>244</v>
      </c>
      <c r="Q723" s="26" t="str">
        <f>VLOOKUP(B723,辅助信息!E:M,9,FALSE)</f>
        <v>ZTWM-CDGS-XS-2024-0169-中冶西部钢构-宜宾市南溪区幸福路东路,高县月江镇建设项目</v>
      </c>
      <c r="R723" s="26"/>
    </row>
    <row r="724" hidden="1" spans="2:18">
      <c r="B724" s="40" t="s">
        <v>106</v>
      </c>
      <c r="C724" s="70">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8"/>
      <c r="M724" s="100">
        <v>45716</v>
      </c>
      <c r="N724" s="57"/>
      <c r="O724" s="57">
        <f ca="1" t="shared" si="20"/>
        <v>0</v>
      </c>
      <c r="P724" s="57">
        <f ca="1" t="shared" si="21"/>
        <v>244</v>
      </c>
      <c r="Q724" s="26" t="str">
        <f>VLOOKUP(B724,辅助信息!E:M,9,FALSE)</f>
        <v>ZTWM-CDGS-XS-2024-0169-中冶西部钢构-宜宾市南溪区幸福路东路,高县月江镇建设项目</v>
      </c>
      <c r="R724" s="26"/>
    </row>
    <row r="725" hidden="1" spans="2:18">
      <c r="B725" s="40" t="s">
        <v>106</v>
      </c>
      <c r="C725" s="70">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6"/>
      <c r="M725" s="100">
        <v>45716</v>
      </c>
      <c r="N725" s="57"/>
      <c r="O725" s="57">
        <f ca="1" t="shared" si="20"/>
        <v>0</v>
      </c>
      <c r="P725" s="57">
        <f ca="1" t="shared" si="21"/>
        <v>244</v>
      </c>
      <c r="Q725" s="26" t="str">
        <f>VLOOKUP(B725,辅助信息!E:M,9,FALSE)</f>
        <v>ZTWM-CDGS-XS-2024-0169-中冶西部钢构-宜宾市南溪区幸福路东路,高县月江镇建设项目</v>
      </c>
      <c r="R725" s="26"/>
    </row>
    <row r="726" hidden="1" spans="2:18">
      <c r="B726" s="40" t="s">
        <v>107</v>
      </c>
      <c r="C726" s="70">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7" t="str">
        <f>VLOOKUP(B726,辅助信息!E:J,6,FALSE)</f>
        <v>提前联系到场规格</v>
      </c>
      <c r="M726" s="100">
        <v>45716</v>
      </c>
      <c r="N726" s="57"/>
      <c r="O726" s="57">
        <f ca="1" t="shared" si="20"/>
        <v>0</v>
      </c>
      <c r="P726" s="57">
        <f ca="1" t="shared" si="21"/>
        <v>244</v>
      </c>
      <c r="Q726" s="26" t="str">
        <f>VLOOKUP(B726,辅助信息!E:M,9,FALSE)</f>
        <v>ZTWM-CDGS-XS-2024-0169-中冶西部钢构-宜宾市南溪区幸福路东路,高县月江镇建设项目</v>
      </c>
      <c r="R726" s="26"/>
    </row>
    <row r="727" hidden="1" spans="2:18">
      <c r="B727" s="40" t="s">
        <v>107</v>
      </c>
      <c r="C727" s="70">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8"/>
      <c r="M727" s="100">
        <v>45716</v>
      </c>
      <c r="N727" s="57"/>
      <c r="O727" s="57">
        <f ca="1" t="shared" si="20"/>
        <v>0</v>
      </c>
      <c r="P727" s="57">
        <f ca="1" t="shared" si="21"/>
        <v>244</v>
      </c>
      <c r="Q727" s="26" t="str">
        <f>VLOOKUP(B727,辅助信息!E:M,9,FALSE)</f>
        <v>ZTWM-CDGS-XS-2024-0169-中冶西部钢构-宜宾市南溪区幸福路东路,高县月江镇建设项目</v>
      </c>
      <c r="R727" s="26"/>
    </row>
    <row r="728" hidden="1" spans="2:18">
      <c r="B728" s="40" t="s">
        <v>107</v>
      </c>
      <c r="C728" s="70">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8"/>
      <c r="M728" s="100">
        <v>45716</v>
      </c>
      <c r="N728" s="57"/>
      <c r="O728" s="57">
        <f ca="1" t="shared" si="20"/>
        <v>0</v>
      </c>
      <c r="P728" s="57">
        <f ca="1" t="shared" si="21"/>
        <v>244</v>
      </c>
      <c r="Q728" s="26" t="str">
        <f>VLOOKUP(B728,辅助信息!E:M,9,FALSE)</f>
        <v>ZTWM-CDGS-XS-2024-0169-中冶西部钢构-宜宾市南溪区幸福路东路,高县月江镇建设项目</v>
      </c>
      <c r="R728" s="26"/>
    </row>
    <row r="729" hidden="1" spans="2:18">
      <c r="B729" s="40" t="s">
        <v>107</v>
      </c>
      <c r="C729" s="70">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8"/>
      <c r="M729" s="100">
        <v>45716</v>
      </c>
      <c r="N729" s="57"/>
      <c r="O729" s="57">
        <f ca="1" t="shared" si="20"/>
        <v>0</v>
      </c>
      <c r="P729" s="57">
        <f ca="1" t="shared" si="21"/>
        <v>244</v>
      </c>
      <c r="Q729" s="26" t="str">
        <f>VLOOKUP(B729,辅助信息!E:M,9,FALSE)</f>
        <v>ZTWM-CDGS-XS-2024-0169-中冶西部钢构-宜宾市南溪区幸福路东路,高县月江镇建设项目</v>
      </c>
      <c r="R729" s="26"/>
    </row>
    <row r="730" hidden="1" spans="2:18">
      <c r="B730" s="40" t="s">
        <v>107</v>
      </c>
      <c r="C730" s="70">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8"/>
      <c r="M730" s="100">
        <v>45716</v>
      </c>
      <c r="N730" s="57"/>
      <c r="O730" s="57">
        <f ca="1" t="shared" si="20"/>
        <v>0</v>
      </c>
      <c r="P730" s="57">
        <f ca="1" t="shared" si="21"/>
        <v>244</v>
      </c>
      <c r="Q730" s="26" t="str">
        <f>VLOOKUP(B730,辅助信息!E:M,9,FALSE)</f>
        <v>ZTWM-CDGS-XS-2024-0169-中冶西部钢构-宜宾市南溪区幸福路东路,高县月江镇建设项目</v>
      </c>
      <c r="R730" s="26"/>
    </row>
    <row r="731" hidden="1" spans="2:18">
      <c r="B731" s="40" t="s">
        <v>107</v>
      </c>
      <c r="C731" s="70">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8"/>
      <c r="M731" s="100">
        <v>45716</v>
      </c>
      <c r="N731" s="57"/>
      <c r="O731" s="57">
        <f ca="1" t="shared" si="20"/>
        <v>0</v>
      </c>
      <c r="P731" s="57">
        <f ca="1" t="shared" si="21"/>
        <v>244</v>
      </c>
      <c r="Q731" s="26" t="str">
        <f>VLOOKUP(B731,辅助信息!E:M,9,FALSE)</f>
        <v>ZTWM-CDGS-XS-2024-0169-中冶西部钢构-宜宾市南溪区幸福路东路,高县月江镇建设项目</v>
      </c>
      <c r="R731" s="26"/>
    </row>
    <row r="732" hidden="1" spans="2:18">
      <c r="B732" s="40" t="s">
        <v>107</v>
      </c>
      <c r="C732" s="70">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6"/>
      <c r="M732" s="100">
        <v>45716</v>
      </c>
      <c r="N732" s="57"/>
      <c r="O732" s="57">
        <f ca="1" t="shared" si="20"/>
        <v>0</v>
      </c>
      <c r="P732" s="57">
        <f ca="1" t="shared" si="21"/>
        <v>244</v>
      </c>
      <c r="Q732" s="26" t="str">
        <f>VLOOKUP(B732,辅助信息!E:M,9,FALSE)</f>
        <v>ZTWM-CDGS-XS-2024-0169-中冶西部钢构-宜宾市南溪区幸福路东路,高县月江镇建设项目</v>
      </c>
      <c r="R732" s="26"/>
    </row>
    <row r="733" hidden="1" spans="2:18">
      <c r="B733" s="40" t="s">
        <v>108</v>
      </c>
      <c r="C733" s="70">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7" t="e">
        <f>VLOOKUP(B733,辅助信息!E:J,6,FALSE)</f>
        <v>#N/A</v>
      </c>
      <c r="M733" s="100">
        <v>45717</v>
      </c>
      <c r="N733" s="57"/>
      <c r="O733" s="57">
        <f ca="1" t="shared" si="20"/>
        <v>0</v>
      </c>
      <c r="P733" s="57">
        <f ca="1" t="shared" si="21"/>
        <v>243</v>
      </c>
      <c r="Q733" s="26" t="e">
        <f>VLOOKUP(B733,辅助信息!E:M,9,FALSE)</f>
        <v>#N/A</v>
      </c>
      <c r="R733" s="26"/>
    </row>
    <row r="734" hidden="1" spans="2:18">
      <c r="B734" s="40" t="s">
        <v>108</v>
      </c>
      <c r="C734" s="70">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8"/>
      <c r="M734" s="100">
        <v>45717</v>
      </c>
      <c r="N734" s="57"/>
      <c r="O734" s="57">
        <f ca="1" t="shared" si="20"/>
        <v>0</v>
      </c>
      <c r="P734" s="57">
        <f ca="1" t="shared" si="21"/>
        <v>243</v>
      </c>
      <c r="Q734" s="26" t="e">
        <f>VLOOKUP(B734,辅助信息!E:M,9,FALSE)</f>
        <v>#N/A</v>
      </c>
      <c r="R734" s="26"/>
    </row>
    <row r="735" hidden="1" spans="2:18">
      <c r="B735" s="40" t="s">
        <v>108</v>
      </c>
      <c r="C735" s="70">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8"/>
      <c r="M735" s="100">
        <v>45717</v>
      </c>
      <c r="N735" s="57"/>
      <c r="O735" s="57">
        <f ca="1" t="shared" si="20"/>
        <v>0</v>
      </c>
      <c r="P735" s="57">
        <f ca="1" t="shared" si="21"/>
        <v>243</v>
      </c>
      <c r="Q735" s="26" t="e">
        <f>VLOOKUP(B735,辅助信息!E:M,9,FALSE)</f>
        <v>#N/A</v>
      </c>
      <c r="R735" s="26"/>
    </row>
    <row r="736" hidden="1" spans="2:18">
      <c r="B736" s="40" t="s">
        <v>108</v>
      </c>
      <c r="C736" s="70">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8"/>
      <c r="M736" s="100">
        <v>45717</v>
      </c>
      <c r="N736" s="57"/>
      <c r="O736" s="57">
        <f ca="1" t="shared" si="20"/>
        <v>0</v>
      </c>
      <c r="P736" s="57">
        <f ca="1" t="shared" si="21"/>
        <v>243</v>
      </c>
      <c r="Q736" s="26" t="e">
        <f>VLOOKUP(B736,辅助信息!E:M,9,FALSE)</f>
        <v>#N/A</v>
      </c>
      <c r="R736" s="26"/>
    </row>
    <row r="737" hidden="1" spans="2:18">
      <c r="B737" s="40" t="s">
        <v>108</v>
      </c>
      <c r="C737" s="70">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6"/>
      <c r="M737" s="100">
        <v>45717</v>
      </c>
      <c r="N737" s="57"/>
      <c r="O737" s="57">
        <f ca="1" t="shared" si="20"/>
        <v>0</v>
      </c>
      <c r="P737" s="57">
        <f ca="1" t="shared" si="21"/>
        <v>243</v>
      </c>
      <c r="Q737" s="26" t="e">
        <f>VLOOKUP(B737,辅助信息!E:M,9,FALSE)</f>
        <v>#N/A</v>
      </c>
      <c r="R737" s="26"/>
    </row>
    <row r="738" hidden="1" spans="2:18">
      <c r="B738" s="40" t="s">
        <v>69</v>
      </c>
      <c r="C738" s="70">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7" t="str">
        <f>VLOOKUP(B738,辅助信息!E:J,6,FALSE)</f>
        <v>控制炉批号！多了现场不收！,优先安排达钢,提前联系到场规格及数量</v>
      </c>
      <c r="M738" s="100">
        <v>45716</v>
      </c>
      <c r="N738" s="57"/>
      <c r="O738" s="57">
        <f ca="1" t="shared" si="20"/>
        <v>0</v>
      </c>
      <c r="P738" s="57">
        <f ca="1" t="shared" si="21"/>
        <v>244</v>
      </c>
      <c r="Q738" s="26" t="str">
        <f>VLOOKUP(B738,辅助信息!E:M,9,FALSE)</f>
        <v>ZTWM-CDGS-XS-2024-0134-商投建工达州中医药科技成果示范园项目</v>
      </c>
      <c r="R738" s="26"/>
    </row>
    <row r="739" hidden="1" spans="2:18">
      <c r="B739" s="40" t="s">
        <v>69</v>
      </c>
      <c r="C739" s="70">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6"/>
      <c r="M739" s="100">
        <v>45716</v>
      </c>
      <c r="N739" s="57"/>
      <c r="O739" s="57">
        <f ca="1" t="shared" si="20"/>
        <v>0</v>
      </c>
      <c r="P739" s="57">
        <f ca="1" t="shared" si="21"/>
        <v>244</v>
      </c>
      <c r="Q739" s="26" t="str">
        <f>VLOOKUP(B739,辅助信息!E:M,9,FALSE)</f>
        <v>ZTWM-CDGS-XS-2024-0134-商投建工达州中医药科技成果示范园项目</v>
      </c>
      <c r="R739" s="26"/>
    </row>
    <row r="740" hidden="1" spans="2:18">
      <c r="B740" s="40" t="s">
        <v>56</v>
      </c>
      <c r="C740" s="70">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7" t="str">
        <f>VLOOKUP(B740,辅助信息!E:J,6,FALSE)</f>
        <v>控制炉批号！多了现场不收！,优先安排达钢,提前联系到场规格及数量</v>
      </c>
      <c r="M740" s="100">
        <v>45716</v>
      </c>
      <c r="N740" s="57"/>
      <c r="O740" s="57">
        <f ca="1" t="shared" si="20"/>
        <v>0</v>
      </c>
      <c r="P740" s="57">
        <f ca="1" t="shared" si="21"/>
        <v>244</v>
      </c>
      <c r="Q740" s="26" t="str">
        <f>VLOOKUP(B740,辅助信息!E:M,9,FALSE)</f>
        <v>ZTWM-CDGS-XS-2024-0134-商投建工达州中医药科技成果示范园项目</v>
      </c>
      <c r="R740" s="26"/>
    </row>
    <row r="741" hidden="1" spans="2:18">
      <c r="B741" s="40" t="s">
        <v>56</v>
      </c>
      <c r="C741" s="70">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8"/>
      <c r="M741" s="100">
        <v>45716</v>
      </c>
      <c r="N741" s="57"/>
      <c r="O741" s="57">
        <f ca="1" t="shared" si="20"/>
        <v>0</v>
      </c>
      <c r="P741" s="57">
        <f ca="1" t="shared" si="21"/>
        <v>244</v>
      </c>
      <c r="Q741" s="26" t="str">
        <f>VLOOKUP(B741,辅助信息!E:M,9,FALSE)</f>
        <v>ZTWM-CDGS-XS-2024-0134-商投建工达州中医药科技成果示范园项目</v>
      </c>
      <c r="R741" s="26"/>
    </row>
    <row r="742" hidden="1" spans="2:18">
      <c r="B742" s="40" t="s">
        <v>56</v>
      </c>
      <c r="C742" s="70">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8"/>
      <c r="M742" s="100">
        <v>45716</v>
      </c>
      <c r="N742" s="57"/>
      <c r="O742" s="57">
        <f ca="1" t="shared" si="20"/>
        <v>0</v>
      </c>
      <c r="P742" s="57">
        <f ca="1" t="shared" si="21"/>
        <v>244</v>
      </c>
      <c r="Q742" s="26" t="str">
        <f>VLOOKUP(B742,辅助信息!E:M,9,FALSE)</f>
        <v>ZTWM-CDGS-XS-2024-0134-商投建工达州中医药科技成果示范园项目</v>
      </c>
      <c r="R742" s="26"/>
    </row>
    <row r="743" hidden="1" spans="2:18">
      <c r="B743" s="40" t="s">
        <v>56</v>
      </c>
      <c r="C743" s="70">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8"/>
      <c r="M743" s="100">
        <v>45716</v>
      </c>
      <c r="N743" s="57"/>
      <c r="O743" s="57">
        <f ca="1" t="shared" si="20"/>
        <v>0</v>
      </c>
      <c r="P743" s="57">
        <f ca="1" t="shared" si="21"/>
        <v>244</v>
      </c>
      <c r="Q743" s="26" t="str">
        <f>VLOOKUP(B743,辅助信息!E:M,9,FALSE)</f>
        <v>ZTWM-CDGS-XS-2024-0134-商投建工达州中医药科技成果示范园项目</v>
      </c>
      <c r="R743" s="26"/>
    </row>
    <row r="744" hidden="1" spans="2:18">
      <c r="B744" s="40" t="s">
        <v>56</v>
      </c>
      <c r="C744" s="70">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8"/>
      <c r="M744" s="100">
        <v>45716</v>
      </c>
      <c r="N744" s="57"/>
      <c r="O744" s="57">
        <f ca="1" t="shared" si="20"/>
        <v>0</v>
      </c>
      <c r="P744" s="57">
        <f ca="1" t="shared" si="21"/>
        <v>244</v>
      </c>
      <c r="Q744" s="26" t="str">
        <f>VLOOKUP(B744,辅助信息!E:M,9,FALSE)</f>
        <v>ZTWM-CDGS-XS-2024-0134-商投建工达州中医药科技成果示范园项目</v>
      </c>
      <c r="R744" s="26"/>
    </row>
    <row r="745" hidden="1" spans="2:18">
      <c r="B745" s="40" t="s">
        <v>56</v>
      </c>
      <c r="C745" s="70">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6"/>
      <c r="M745" s="100">
        <v>45716</v>
      </c>
      <c r="N745" s="57"/>
      <c r="O745" s="57">
        <f ca="1" t="shared" si="20"/>
        <v>0</v>
      </c>
      <c r="P745" s="57">
        <f ca="1" t="shared" si="21"/>
        <v>244</v>
      </c>
      <c r="Q745" s="26" t="str">
        <f>VLOOKUP(B745,辅助信息!E:M,9,FALSE)</f>
        <v>ZTWM-CDGS-XS-2024-0134-商投建工达州中医药科技成果示范园项目</v>
      </c>
      <c r="R745" s="26"/>
    </row>
    <row r="746" hidden="1" spans="2:18">
      <c r="B746" s="40" t="s">
        <v>20</v>
      </c>
      <c r="C746" s="70">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7" t="str">
        <f>VLOOKUP(B746,辅助信息!E:J,6,FALSE)</f>
        <v>送货单：送货单位：南充思临新材料科技有限公司,收货单位：五冶集团川北(南充)建设有限公司,项目名称：南充医学科学产业园,送货车型13米,装货前联系收货人核实到场规格</v>
      </c>
      <c r="M746" s="100">
        <v>45716</v>
      </c>
      <c r="N746" s="57"/>
      <c r="O746" s="57">
        <f ca="1" t="shared" si="20"/>
        <v>0</v>
      </c>
      <c r="P746" s="57">
        <f ca="1" t="shared" si="21"/>
        <v>244</v>
      </c>
      <c r="Q746" s="26" t="str">
        <f>VLOOKUP(B746,辅助信息!E:M,9,FALSE)</f>
        <v>ZTWM-CDGS-XS-2024-0248-五冶钢构-南充市医学院项目</v>
      </c>
      <c r="R746" s="26"/>
    </row>
    <row r="747" hidden="1" spans="2:18">
      <c r="B747" s="40" t="s">
        <v>20</v>
      </c>
      <c r="C747" s="70">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8"/>
      <c r="M747" s="100">
        <v>45716</v>
      </c>
      <c r="N747" s="57"/>
      <c r="O747" s="57">
        <f ca="1" t="shared" si="20"/>
        <v>0</v>
      </c>
      <c r="P747" s="57">
        <f ca="1" t="shared" si="21"/>
        <v>244</v>
      </c>
      <c r="Q747" s="26" t="str">
        <f>VLOOKUP(B747,辅助信息!E:M,9,FALSE)</f>
        <v>ZTWM-CDGS-XS-2024-0248-五冶钢构-南充市医学院项目</v>
      </c>
      <c r="R747" s="26"/>
    </row>
    <row r="748" hidden="1" spans="2:18">
      <c r="B748" s="40" t="s">
        <v>20</v>
      </c>
      <c r="C748" s="70">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8"/>
      <c r="M748" s="100">
        <v>45716</v>
      </c>
      <c r="N748" s="57"/>
      <c r="O748" s="57">
        <f ca="1" t="shared" si="20"/>
        <v>0</v>
      </c>
      <c r="P748" s="57">
        <f ca="1" t="shared" si="21"/>
        <v>244</v>
      </c>
      <c r="Q748" s="26" t="str">
        <f>VLOOKUP(B748,辅助信息!E:M,9,FALSE)</f>
        <v>ZTWM-CDGS-XS-2024-0248-五冶钢构-南充市医学院项目</v>
      </c>
      <c r="R748" s="26"/>
    </row>
    <row r="749" hidden="1" spans="2:18">
      <c r="B749" s="40" t="s">
        <v>20</v>
      </c>
      <c r="C749" s="70">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8"/>
      <c r="M749" s="100">
        <v>45716</v>
      </c>
      <c r="N749" s="57"/>
      <c r="O749" s="57">
        <f ca="1" t="shared" si="20"/>
        <v>0</v>
      </c>
      <c r="P749" s="57">
        <f ca="1" t="shared" si="21"/>
        <v>244</v>
      </c>
      <c r="Q749" s="26" t="str">
        <f>VLOOKUP(B749,辅助信息!E:M,9,FALSE)</f>
        <v>ZTWM-CDGS-XS-2024-0248-五冶钢构-南充市医学院项目</v>
      </c>
      <c r="R749" s="26"/>
    </row>
    <row r="750" hidden="1" spans="2:18">
      <c r="B750" s="40" t="s">
        <v>20</v>
      </c>
      <c r="C750" s="70">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8"/>
      <c r="M750" s="100">
        <v>45716</v>
      </c>
      <c r="N750" s="57"/>
      <c r="O750" s="57">
        <f ca="1" t="shared" si="20"/>
        <v>0</v>
      </c>
      <c r="P750" s="57">
        <f ca="1" t="shared" si="21"/>
        <v>244</v>
      </c>
      <c r="Q750" s="26" t="str">
        <f>VLOOKUP(B750,辅助信息!E:M,9,FALSE)</f>
        <v>ZTWM-CDGS-XS-2024-0248-五冶钢构-南充市医学院项目</v>
      </c>
      <c r="R750" s="26"/>
    </row>
    <row r="751" hidden="1" spans="2:18">
      <c r="B751" s="40" t="s">
        <v>20</v>
      </c>
      <c r="C751" s="70">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6"/>
      <c r="M751" s="100">
        <v>45716</v>
      </c>
      <c r="N751" s="57"/>
      <c r="O751" s="57">
        <f ca="1" t="shared" si="20"/>
        <v>0</v>
      </c>
      <c r="P751" s="62">
        <f ca="1" t="shared" si="21"/>
        <v>244</v>
      </c>
      <c r="Q751" s="26" t="str">
        <f>VLOOKUP(B751,辅助信息!E:M,9,FALSE)</f>
        <v>ZTWM-CDGS-XS-2024-0248-五冶钢构-南充市医学院项目</v>
      </c>
      <c r="R751" s="26"/>
    </row>
    <row r="752" hidden="1" spans="2:18">
      <c r="B752" s="40" t="s">
        <v>98</v>
      </c>
      <c r="C752" s="70">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7" t="e">
        <f>VLOOKUP(B752,辅助信息!E:J,6,FALSE)</f>
        <v>#N/A</v>
      </c>
      <c r="M752" s="100">
        <v>45716</v>
      </c>
      <c r="N752" s="57"/>
      <c r="O752" s="57">
        <f ca="1" t="shared" si="20"/>
        <v>0</v>
      </c>
      <c r="P752" s="62">
        <f ca="1" t="shared" si="21"/>
        <v>244</v>
      </c>
      <c r="Q752" s="26" t="e">
        <f>VLOOKUP(B752,辅助信息!E:M,9,FALSE)</f>
        <v>#N/A</v>
      </c>
      <c r="R752" s="26"/>
    </row>
    <row r="753" hidden="1" spans="2:18">
      <c r="B753" s="40" t="s">
        <v>98</v>
      </c>
      <c r="C753" s="70">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8"/>
      <c r="M753" s="100">
        <v>45716</v>
      </c>
      <c r="N753" s="57"/>
      <c r="O753" s="57">
        <f ca="1" t="shared" si="20"/>
        <v>0</v>
      </c>
      <c r="P753" s="62">
        <f ca="1" t="shared" si="21"/>
        <v>244</v>
      </c>
      <c r="Q753" s="26" t="e">
        <f>VLOOKUP(B753,辅助信息!E:M,9,FALSE)</f>
        <v>#N/A</v>
      </c>
      <c r="R753" s="26"/>
    </row>
    <row r="754" hidden="1" spans="2:18">
      <c r="B754" s="40" t="s">
        <v>98</v>
      </c>
      <c r="C754" s="70">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6"/>
      <c r="M754" s="100">
        <v>45716</v>
      </c>
      <c r="N754" s="57"/>
      <c r="O754" s="57">
        <f ca="1" t="shared" si="20"/>
        <v>0</v>
      </c>
      <c r="P754" s="62">
        <f ca="1" t="shared" si="21"/>
        <v>244</v>
      </c>
      <c r="Q754" s="26" t="e">
        <f>VLOOKUP(B754,辅助信息!E:M,9,FALSE)</f>
        <v>#N/A</v>
      </c>
      <c r="R754" s="26"/>
    </row>
    <row r="755" hidden="1" spans="2:18">
      <c r="B755" s="40" t="s">
        <v>31</v>
      </c>
      <c r="C755" s="70">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0" t="str">
        <f>VLOOKUP(B755,辅助信息!E:J,6,FALSE)</f>
        <v>提前联系到场规格及数量</v>
      </c>
      <c r="M755" s="100">
        <v>45716</v>
      </c>
      <c r="N755" s="57"/>
      <c r="O755" s="57">
        <f ca="1" t="shared" si="20"/>
        <v>0</v>
      </c>
      <c r="P755" s="62">
        <f ca="1" t="shared" si="21"/>
        <v>244</v>
      </c>
      <c r="Q755" s="26" t="str">
        <f>VLOOKUP(B755,辅助信息!E:M,9,FALSE)</f>
        <v>ZTWM-CDGS-XS-2024-0179-四川商投-射洪城乡一体化建设项目</v>
      </c>
      <c r="R755" s="26"/>
    </row>
    <row r="756" hidden="1" spans="2:18">
      <c r="B756" s="40" t="s">
        <v>31</v>
      </c>
      <c r="C756" s="70">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0">
        <v>45716</v>
      </c>
      <c r="N756" s="57"/>
      <c r="O756" s="57">
        <f ca="1" t="shared" si="20"/>
        <v>0</v>
      </c>
      <c r="P756" s="62">
        <f ca="1" t="shared" si="21"/>
        <v>244</v>
      </c>
      <c r="Q756" s="26" t="str">
        <f>VLOOKUP(B756,辅助信息!E:M,9,FALSE)</f>
        <v>ZTWM-CDGS-XS-2024-0179-四川商投-射洪城乡一体化建设项目</v>
      </c>
      <c r="R756" s="26"/>
    </row>
    <row r="757" hidden="1" spans="2:18">
      <c r="B757" s="40" t="s">
        <v>31</v>
      </c>
      <c r="C757" s="70">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0">
        <v>45716</v>
      </c>
      <c r="N757" s="57"/>
      <c r="O757" s="57">
        <f ca="1" t="shared" si="20"/>
        <v>0</v>
      </c>
      <c r="P757" s="62">
        <f ca="1" t="shared" si="21"/>
        <v>244</v>
      </c>
      <c r="Q757" s="26" t="str">
        <f>VLOOKUP(B757,辅助信息!E:M,9,FALSE)</f>
        <v>ZTWM-CDGS-XS-2024-0179-四川商投-射洪城乡一体化建设项目</v>
      </c>
      <c r="R757" s="26"/>
    </row>
    <row r="758" hidden="1" spans="2:18">
      <c r="B758" s="40" t="s">
        <v>31</v>
      </c>
      <c r="C758" s="70">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0">
        <v>45716</v>
      </c>
      <c r="N758" s="57"/>
      <c r="O758" s="57">
        <f ca="1" t="shared" si="20"/>
        <v>0</v>
      </c>
      <c r="P758" s="62">
        <f ca="1" t="shared" si="21"/>
        <v>244</v>
      </c>
      <c r="Q758" s="26" t="str">
        <f>VLOOKUP(B758,辅助信息!E:M,9,FALSE)</f>
        <v>ZTWM-CDGS-XS-2024-0179-四川商投-射洪城乡一体化建设项目</v>
      </c>
      <c r="R758" s="26"/>
    </row>
    <row r="759" ht="45" hidden="1" customHeight="1" spans="2:18">
      <c r="B759" s="40" t="s">
        <v>75</v>
      </c>
      <c r="C759" s="70">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7" t="e">
        <f>VLOOKUP(B759,辅助信息!E:J,6,FALSE)</f>
        <v>#N/A</v>
      </c>
      <c r="M759" s="100">
        <v>45716</v>
      </c>
      <c r="N759" s="57"/>
      <c r="O759" s="57">
        <f ca="1" t="shared" si="20"/>
        <v>0</v>
      </c>
      <c r="P759" s="62">
        <f ca="1" t="shared" si="21"/>
        <v>244</v>
      </c>
      <c r="Q759" s="26" t="e">
        <f>VLOOKUP(B759,辅助信息!E:M,9,FALSE)</f>
        <v>#N/A</v>
      </c>
      <c r="R759" s="26"/>
    </row>
    <row r="760" hidden="1" spans="2:18">
      <c r="B760" s="40" t="s">
        <v>108</v>
      </c>
      <c r="C760" s="70">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7" t="e">
        <f>VLOOKUP(B760,辅助信息!E:J,6,FALSE)</f>
        <v>#N/A</v>
      </c>
      <c r="M760" s="100">
        <v>45717</v>
      </c>
      <c r="N760" s="57"/>
      <c r="O760" s="57">
        <f ca="1" t="shared" si="20"/>
        <v>0</v>
      </c>
      <c r="P760" s="62">
        <f ca="1" t="shared" si="21"/>
        <v>243</v>
      </c>
      <c r="Q760" s="26" t="e">
        <f>VLOOKUP(B760,辅助信息!E:M,9,FALSE)</f>
        <v>#N/A</v>
      </c>
      <c r="R760" s="26"/>
    </row>
    <row r="761" hidden="1" spans="2:18">
      <c r="B761" s="40" t="s">
        <v>108</v>
      </c>
      <c r="C761" s="70">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0">
        <v>45717</v>
      </c>
      <c r="N761" s="57"/>
      <c r="O761" s="57">
        <f ca="1" t="shared" si="20"/>
        <v>0</v>
      </c>
      <c r="P761" s="62">
        <f ca="1" t="shared" si="21"/>
        <v>243</v>
      </c>
      <c r="Q761" s="26" t="e">
        <f>VLOOKUP(B761,辅助信息!E:M,9,FALSE)</f>
        <v>#N/A</v>
      </c>
      <c r="R761" s="26"/>
    </row>
    <row r="762" hidden="1" spans="2:18">
      <c r="B762" s="40" t="s">
        <v>108</v>
      </c>
      <c r="C762" s="70">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0">
        <v>45717</v>
      </c>
      <c r="N762" s="57"/>
      <c r="O762" s="57">
        <f ca="1" t="shared" si="20"/>
        <v>0</v>
      </c>
      <c r="P762" s="62">
        <f ca="1" t="shared" si="21"/>
        <v>243</v>
      </c>
      <c r="Q762" s="26" t="e">
        <f>VLOOKUP(B762,辅助信息!E:M,9,FALSE)</f>
        <v>#N/A</v>
      </c>
      <c r="R762" s="26"/>
    </row>
    <row r="763" hidden="1" spans="2:18">
      <c r="B763" s="40" t="s">
        <v>108</v>
      </c>
      <c r="C763" s="70">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0">
        <v>45717</v>
      </c>
      <c r="N763" s="57"/>
      <c r="O763" s="57">
        <f ca="1" t="shared" si="20"/>
        <v>0</v>
      </c>
      <c r="P763" s="62">
        <f ca="1" t="shared" si="21"/>
        <v>243</v>
      </c>
      <c r="Q763" s="26" t="e">
        <f>VLOOKUP(B763,辅助信息!E:M,9,FALSE)</f>
        <v>#N/A</v>
      </c>
      <c r="R763" s="26"/>
    </row>
    <row r="764" hidden="1" spans="2:18">
      <c r="B764" s="40" t="s">
        <v>108</v>
      </c>
      <c r="C764" s="70">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0">
        <v>45717</v>
      </c>
      <c r="N764" s="57"/>
      <c r="O764" s="57">
        <f ca="1" t="shared" si="20"/>
        <v>0</v>
      </c>
      <c r="P764" s="62">
        <f ca="1" t="shared" si="21"/>
        <v>243</v>
      </c>
      <c r="Q764" s="26" t="e">
        <f>VLOOKUP(B764,辅助信息!E:M,9,FALSE)</f>
        <v>#N/A</v>
      </c>
      <c r="R764" s="26"/>
    </row>
    <row r="765" hidden="1" spans="2:18">
      <c r="B765" s="97" t="s">
        <v>69</v>
      </c>
      <c r="C765" s="70">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7" t="str">
        <f>VLOOKUP(B765,辅助信息!E:J,6,FALSE)</f>
        <v>控制炉批号！多了现场不收！,优先安排达钢,提前联系到场规格及数量</v>
      </c>
      <c r="M765" s="100">
        <v>45716</v>
      </c>
      <c r="N765" s="57"/>
      <c r="O765" s="57">
        <f ca="1" t="shared" si="20"/>
        <v>0</v>
      </c>
      <c r="P765" s="62">
        <f ca="1" t="shared" si="21"/>
        <v>244</v>
      </c>
      <c r="Q765" s="26" t="str">
        <f>VLOOKUP(B765,辅助信息!E:M,9,FALSE)</f>
        <v>ZTWM-CDGS-XS-2024-0134-商投建工达州中医药科技成果示范园项目</v>
      </c>
      <c r="R765" s="26"/>
    </row>
    <row r="766" hidden="1" spans="2:18">
      <c r="B766" s="97" t="s">
        <v>69</v>
      </c>
      <c r="C766" s="70">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0">
        <v>45716</v>
      </c>
      <c r="N766" s="57"/>
      <c r="O766" s="57">
        <f ca="1" t="shared" si="20"/>
        <v>0</v>
      </c>
      <c r="P766" s="62">
        <f ca="1" t="shared" si="21"/>
        <v>244</v>
      </c>
      <c r="Q766" s="26" t="str">
        <f>VLOOKUP(B766,辅助信息!E:M,9,FALSE)</f>
        <v>ZTWM-CDGS-XS-2024-0134-商投建工达州中医药科技成果示范园项目</v>
      </c>
      <c r="R766" s="26"/>
    </row>
    <row r="767" hidden="1" spans="2:18">
      <c r="B767" s="40" t="s">
        <v>56</v>
      </c>
      <c r="C767" s="70">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7" t="str">
        <f>VLOOKUP(B767,辅助信息!E:J,6,FALSE)</f>
        <v>控制炉批号！多了现场不收！,优先安排达钢,提前联系到场规格及数量</v>
      </c>
      <c r="M767" s="100">
        <v>45716</v>
      </c>
      <c r="N767" s="57"/>
      <c r="O767" s="57">
        <f ca="1" t="shared" si="20"/>
        <v>0</v>
      </c>
      <c r="P767" s="62">
        <f ca="1" t="shared" si="21"/>
        <v>244</v>
      </c>
      <c r="Q767" s="26" t="str">
        <f>VLOOKUP(B767,辅助信息!E:M,9,FALSE)</f>
        <v>ZTWM-CDGS-XS-2024-0134-商投建工达州中医药科技成果示范园项目</v>
      </c>
      <c r="R767" s="26"/>
    </row>
    <row r="768" hidden="1" spans="2:18">
      <c r="B768" s="40" t="s">
        <v>56</v>
      </c>
      <c r="C768" s="70">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0">
        <v>45716</v>
      </c>
      <c r="N768" s="57"/>
      <c r="O768" s="57">
        <f ca="1" t="shared" si="20"/>
        <v>0</v>
      </c>
      <c r="P768" s="62">
        <f ca="1" t="shared" si="21"/>
        <v>244</v>
      </c>
      <c r="Q768" s="26" t="str">
        <f>VLOOKUP(B768,辅助信息!E:M,9,FALSE)</f>
        <v>ZTWM-CDGS-XS-2024-0134-商投建工达州中医药科技成果示范园项目</v>
      </c>
      <c r="R768" s="26"/>
    </row>
    <row r="769" hidden="1" spans="2:18">
      <c r="B769" s="40" t="s">
        <v>56</v>
      </c>
      <c r="C769" s="70">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0">
        <v>45716</v>
      </c>
      <c r="N769" s="57"/>
      <c r="O769" s="57">
        <f ca="1" t="shared" si="20"/>
        <v>0</v>
      </c>
      <c r="P769" s="62">
        <f ca="1" t="shared" si="21"/>
        <v>244</v>
      </c>
      <c r="Q769" s="26" t="str">
        <f>VLOOKUP(B769,辅助信息!E:M,9,FALSE)</f>
        <v>ZTWM-CDGS-XS-2024-0134-商投建工达州中医药科技成果示范园项目</v>
      </c>
      <c r="R769" s="26"/>
    </row>
    <row r="770" hidden="1" spans="2:18">
      <c r="B770" s="40" t="s">
        <v>56</v>
      </c>
      <c r="C770" s="70">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0">
        <v>45716</v>
      </c>
      <c r="N770" s="57"/>
      <c r="O770" s="57">
        <f ca="1" t="shared" si="20"/>
        <v>0</v>
      </c>
      <c r="P770" s="62">
        <f ca="1" t="shared" si="21"/>
        <v>244</v>
      </c>
      <c r="Q770" s="26" t="str">
        <f>VLOOKUP(B770,辅助信息!E:M,9,FALSE)</f>
        <v>ZTWM-CDGS-XS-2024-0134-商投建工达州中医药科技成果示范园项目</v>
      </c>
      <c r="R770" s="26"/>
    </row>
    <row r="771" hidden="1" spans="2:18">
      <c r="B771" s="40" t="s">
        <v>56</v>
      </c>
      <c r="C771" s="70">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0">
        <v>45716</v>
      </c>
      <c r="N771" s="57"/>
      <c r="O771" s="57">
        <f ca="1" t="shared" si="20"/>
        <v>0</v>
      </c>
      <c r="P771" s="62">
        <f ca="1" t="shared" si="21"/>
        <v>244</v>
      </c>
      <c r="Q771" s="26" t="str">
        <f>VLOOKUP(B771,辅助信息!E:M,9,FALSE)</f>
        <v>ZTWM-CDGS-XS-2024-0134-商投建工达州中医药科技成果示范园项目</v>
      </c>
      <c r="R771" s="26"/>
    </row>
    <row r="772" hidden="1" spans="2:18">
      <c r="B772" s="83" t="s">
        <v>56</v>
      </c>
      <c r="C772" s="84">
        <v>45715</v>
      </c>
      <c r="D772" s="83" t="str">
        <f>VLOOKUP(B772,辅助信息!E:K,7,FALSE)</f>
        <v>JWDDCD2025052800131</v>
      </c>
      <c r="E772" s="83" t="str">
        <f>VLOOKUP(F772,辅助信息!A:B,2,FALSE)</f>
        <v>螺纹钢</v>
      </c>
      <c r="F772" s="83" t="s">
        <v>22</v>
      </c>
      <c r="G772" s="85">
        <v>12</v>
      </c>
      <c r="H772" s="85" t="str">
        <f>_xlfn._xlws.FILTER('[1]2025年已发货'!$E:$E,'[1]2025年已发货'!$F:$F&amp;'[1]2025年已发货'!$C:$C&amp;'[1]2025年已发货'!$G:$G&amp;'[1]2025年已发货'!$H:$H=C772&amp;F772&amp;I772&amp;J772,"未发货")</f>
        <v>未发货</v>
      </c>
      <c r="I772" s="83" t="str">
        <f>VLOOKUP(B772,辅助信息!E:I,3,FALSE)</f>
        <v>（商投建工达州中医药科技园-4工区-7号楼）达州市通川区达州中医药职业学院犀牛大道北段</v>
      </c>
      <c r="J772" s="83" t="str">
        <f>VLOOKUP(B772,辅助信息!E:I,4,FALSE)</f>
        <v>张扬</v>
      </c>
      <c r="K772" s="83">
        <f>VLOOKUP(J772,辅助信息!H:I,2,FALSE)</f>
        <v>18381904567</v>
      </c>
      <c r="M772" s="100">
        <v>45716</v>
      </c>
      <c r="N772" s="57"/>
      <c r="O772" s="57">
        <f ca="1" t="shared" si="20"/>
        <v>0</v>
      </c>
      <c r="P772" s="62">
        <f ca="1" t="shared" si="21"/>
        <v>244</v>
      </c>
      <c r="Q772" s="26" t="str">
        <f>VLOOKUP(B772,辅助信息!E:M,9,FALSE)</f>
        <v>ZTWM-CDGS-XS-2024-0134-商投建工达州中医药科技成果示范园项目</v>
      </c>
      <c r="R772" s="26"/>
    </row>
    <row r="773" ht="45" hidden="1" customHeight="1" spans="2:18">
      <c r="B773" s="40" t="s">
        <v>75</v>
      </c>
      <c r="C773" s="70">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7" t="e">
        <f>VLOOKUP(B773,辅助信息!E:J,6,FALSE)</f>
        <v>#N/A</v>
      </c>
      <c r="M773" s="100">
        <v>45716</v>
      </c>
      <c r="N773" s="57"/>
      <c r="O773" s="57">
        <f ca="1" t="shared" si="20"/>
        <v>0</v>
      </c>
      <c r="P773" s="62">
        <f ca="1" t="shared" si="21"/>
        <v>244</v>
      </c>
      <c r="Q773" s="26" t="e">
        <f>VLOOKUP(B773,辅助信息!E:M,9,FALSE)</f>
        <v>#N/A</v>
      </c>
      <c r="R773" s="26"/>
    </row>
    <row r="774" hidden="1" spans="2:18">
      <c r="B774" s="40" t="s">
        <v>108</v>
      </c>
      <c r="C774" s="70">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7" t="e">
        <f>VLOOKUP(B774,辅助信息!E:J,6,FALSE)</f>
        <v>#N/A</v>
      </c>
      <c r="M774" s="91">
        <v>45717</v>
      </c>
      <c r="O774" s="62">
        <f ca="1" t="shared" si="20"/>
        <v>0</v>
      </c>
      <c r="P774" s="62">
        <f ca="1" t="shared" si="21"/>
        <v>243</v>
      </c>
      <c r="Q774" s="26" t="e">
        <f>VLOOKUP(B774,辅助信息!E:M,9,FALSE)</f>
        <v>#N/A</v>
      </c>
      <c r="R774" s="26"/>
    </row>
    <row r="775" hidden="1" spans="2:18">
      <c r="B775" s="40" t="s">
        <v>108</v>
      </c>
      <c r="C775" s="70">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8"/>
      <c r="M775" s="91">
        <v>45717</v>
      </c>
      <c r="O775" s="62">
        <f ca="1" t="shared" si="20"/>
        <v>0</v>
      </c>
      <c r="P775" s="62">
        <f ca="1" t="shared" si="21"/>
        <v>243</v>
      </c>
      <c r="Q775" s="26" t="e">
        <f>VLOOKUP(B775,辅助信息!E:M,9,FALSE)</f>
        <v>#N/A</v>
      </c>
      <c r="R775" s="26"/>
    </row>
    <row r="776" hidden="1" spans="2:18">
      <c r="B776" s="40" t="s">
        <v>108</v>
      </c>
      <c r="C776" s="70">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8"/>
      <c r="M776" s="91">
        <v>45717</v>
      </c>
      <c r="O776" s="62">
        <f ca="1" t="shared" si="20"/>
        <v>0</v>
      </c>
      <c r="P776" s="62">
        <f ca="1" t="shared" si="21"/>
        <v>243</v>
      </c>
      <c r="Q776" s="26" t="e">
        <f>VLOOKUP(B776,辅助信息!E:M,9,FALSE)</f>
        <v>#N/A</v>
      </c>
      <c r="R776" s="26"/>
    </row>
    <row r="777" hidden="1" spans="2:18">
      <c r="B777" s="40" t="s">
        <v>108</v>
      </c>
      <c r="C777" s="70">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8"/>
      <c r="M777" s="91">
        <v>45717</v>
      </c>
      <c r="O777" s="62">
        <f ca="1" t="shared" si="20"/>
        <v>0</v>
      </c>
      <c r="P777" s="62">
        <f ca="1" t="shared" si="21"/>
        <v>243</v>
      </c>
      <c r="Q777" s="26" t="e">
        <f>VLOOKUP(B777,辅助信息!E:M,9,FALSE)</f>
        <v>#N/A</v>
      </c>
      <c r="R777" s="26"/>
    </row>
    <row r="778" hidden="1" spans="2:18">
      <c r="B778" s="40" t="s">
        <v>108</v>
      </c>
      <c r="C778" s="70">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6"/>
      <c r="M778" s="91">
        <v>45717</v>
      </c>
      <c r="O778" s="62">
        <f ca="1" t="shared" si="20"/>
        <v>0</v>
      </c>
      <c r="P778" s="62">
        <f ca="1" t="shared" si="21"/>
        <v>243</v>
      </c>
      <c r="Q778" s="26" t="e">
        <f>VLOOKUP(B778,辅助信息!E:M,9,FALSE)</f>
        <v>#N/A</v>
      </c>
      <c r="R778" s="26"/>
    </row>
    <row r="779" hidden="1" spans="2:18">
      <c r="B779" s="40" t="s">
        <v>56</v>
      </c>
      <c r="C779" s="70">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7" t="str">
        <f>VLOOKUP(B779,辅助信息!E:J,6,FALSE)</f>
        <v>控制炉批号！多了现场不收！,优先安排达钢,提前联系到场规格及数量</v>
      </c>
      <c r="M779" s="91">
        <v>45716</v>
      </c>
      <c r="O779" s="62">
        <f ca="1" t="shared" si="20"/>
        <v>0</v>
      </c>
      <c r="P779" s="62">
        <f ca="1" t="shared" si="21"/>
        <v>244</v>
      </c>
      <c r="Q779" s="26" t="str">
        <f>VLOOKUP(B779,辅助信息!E:M,9,FALSE)</f>
        <v>ZTWM-CDGS-XS-2024-0134-商投建工达州中医药科技成果示范园项目</v>
      </c>
      <c r="R779" s="26"/>
    </row>
    <row r="780" hidden="1" spans="2:18">
      <c r="B780" s="40" t="s">
        <v>56</v>
      </c>
      <c r="C780" s="70">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8"/>
      <c r="M780" s="91">
        <v>45716</v>
      </c>
      <c r="O780" s="62">
        <f ca="1" t="shared" si="20"/>
        <v>0</v>
      </c>
      <c r="P780" s="62">
        <f ca="1" t="shared" si="21"/>
        <v>244</v>
      </c>
      <c r="Q780" s="26" t="str">
        <f>VLOOKUP(B780,辅助信息!E:M,9,FALSE)</f>
        <v>ZTWM-CDGS-XS-2024-0134-商投建工达州中医药科技成果示范园项目</v>
      </c>
      <c r="R780" s="26"/>
    </row>
    <row r="781" hidden="1" spans="2:18">
      <c r="B781" s="40" t="s">
        <v>56</v>
      </c>
      <c r="C781" s="70">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8"/>
      <c r="M781" s="91">
        <v>45716</v>
      </c>
      <c r="O781" s="62">
        <f ca="1" t="shared" si="20"/>
        <v>0</v>
      </c>
      <c r="P781" s="62">
        <f ca="1" t="shared" si="21"/>
        <v>244</v>
      </c>
      <c r="Q781" s="26" t="str">
        <f>VLOOKUP(B781,辅助信息!E:M,9,FALSE)</f>
        <v>ZTWM-CDGS-XS-2024-0134-商投建工达州中医药科技成果示范园项目</v>
      </c>
      <c r="R781" s="26"/>
    </row>
    <row r="782" hidden="1" spans="2:18">
      <c r="B782" s="40" t="s">
        <v>56</v>
      </c>
      <c r="C782" s="70">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8"/>
      <c r="M782" s="91">
        <v>45716</v>
      </c>
      <c r="O782" s="62">
        <f ca="1" t="shared" ref="O782:O789" si="22">IF(OR(M782="",N782&lt;&gt;""),"",MAX(M782-TODAY(),0))</f>
        <v>0</v>
      </c>
      <c r="P782" s="62">
        <f ca="1" t="shared" ref="P782:P789" si="23">IF(M782="","",IF(N782&lt;&gt;"",MAX(N782-M782,0),IF(TODAY()&gt;M782,TODAY()-M782,0)))</f>
        <v>244</v>
      </c>
      <c r="Q782" s="26" t="str">
        <f>VLOOKUP(B782,辅助信息!E:M,9,FALSE)</f>
        <v>ZTWM-CDGS-XS-2024-0134-商投建工达州中医药科技成果示范园项目</v>
      </c>
      <c r="R782" s="26"/>
    </row>
    <row r="783" hidden="1" spans="2:18">
      <c r="B783" s="40" t="s">
        <v>56</v>
      </c>
      <c r="C783" s="70">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8"/>
      <c r="M783" s="91">
        <v>45716</v>
      </c>
      <c r="O783" s="62">
        <f ca="1" t="shared" si="22"/>
        <v>0</v>
      </c>
      <c r="P783" s="62">
        <f ca="1" t="shared" si="23"/>
        <v>244</v>
      </c>
      <c r="Q783" s="26" t="str">
        <f>VLOOKUP(B783,辅助信息!E:M,9,FALSE)</f>
        <v>ZTWM-CDGS-XS-2024-0134-商投建工达州中医药科技成果示范园项目</v>
      </c>
      <c r="R783" s="26"/>
    </row>
    <row r="784" hidden="1" spans="2:18">
      <c r="B784" s="40" t="s">
        <v>56</v>
      </c>
      <c r="C784" s="70">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6"/>
      <c r="M784" s="91">
        <v>45716</v>
      </c>
      <c r="O784" s="62">
        <f ca="1" t="shared" si="22"/>
        <v>0</v>
      </c>
      <c r="P784" s="62">
        <f ca="1" t="shared" si="23"/>
        <v>244</v>
      </c>
      <c r="Q784" s="26" t="str">
        <f>VLOOKUP(B784,辅助信息!E:M,9,FALSE)</f>
        <v>ZTWM-CDGS-XS-2024-0134-商投建工达州中医药科技成果示范园项目</v>
      </c>
      <c r="R784" s="26"/>
    </row>
    <row r="785" ht="45" hidden="1" customHeight="1" spans="2:18">
      <c r="B785" s="40" t="s">
        <v>63</v>
      </c>
      <c r="C785" s="70">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7" t="e">
        <f>VLOOKUP(B785,辅助信息!E:J,6,FALSE)</f>
        <v>#N/A</v>
      </c>
      <c r="M785" s="91">
        <v>45717</v>
      </c>
      <c r="O785" s="62">
        <f ca="1" t="shared" si="22"/>
        <v>0</v>
      </c>
      <c r="P785" s="62">
        <f ca="1" t="shared" si="23"/>
        <v>243</v>
      </c>
      <c r="Q785" s="26" t="e">
        <f>VLOOKUP(B785,辅助信息!E:M,9,FALSE)</f>
        <v>#N/A</v>
      </c>
      <c r="R785" s="26"/>
    </row>
    <row r="786" hidden="1" spans="2:18">
      <c r="B786" s="40" t="s">
        <v>20</v>
      </c>
      <c r="C786" s="70">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7" t="str">
        <f>VLOOKUP(B786,辅助信息!E:J,6,FALSE)</f>
        <v>送货单：送货单位：南充思临新材料科技有限公司,收货单位：五冶集团川北(南充)建设有限公司,项目名称：南充医学科学产业园,送货车型13米,装货前联系收货人核实到场规格</v>
      </c>
      <c r="M786" s="91">
        <v>45718</v>
      </c>
      <c r="O786" s="62">
        <f ca="1" t="shared" si="22"/>
        <v>0</v>
      </c>
      <c r="P786" s="62">
        <f ca="1" t="shared" si="23"/>
        <v>242</v>
      </c>
      <c r="Q786" s="26" t="str">
        <f>VLOOKUP(B786,辅助信息!E:M,9,FALSE)</f>
        <v>ZTWM-CDGS-XS-2024-0248-五冶钢构-南充市医学院项目</v>
      </c>
      <c r="R786" s="26"/>
    </row>
    <row r="787" hidden="1" spans="2:18">
      <c r="B787" s="40" t="s">
        <v>20</v>
      </c>
      <c r="C787" s="70">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8"/>
      <c r="M787" s="91">
        <v>45718</v>
      </c>
      <c r="O787" s="62">
        <f ca="1" t="shared" si="22"/>
        <v>0</v>
      </c>
      <c r="P787" s="62">
        <f ca="1" t="shared" si="23"/>
        <v>242</v>
      </c>
      <c r="Q787" s="26" t="str">
        <f>VLOOKUP(B787,辅助信息!E:M,9,FALSE)</f>
        <v>ZTWM-CDGS-XS-2024-0248-五冶钢构-南充市医学院项目</v>
      </c>
      <c r="R787" s="26"/>
    </row>
    <row r="788" hidden="1" spans="2:18">
      <c r="B788" s="40" t="s">
        <v>20</v>
      </c>
      <c r="C788" s="70">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8"/>
      <c r="M788" s="91">
        <v>45718</v>
      </c>
      <c r="O788" s="62">
        <f ca="1" t="shared" si="22"/>
        <v>0</v>
      </c>
      <c r="P788" s="62">
        <f ca="1" t="shared" si="23"/>
        <v>242</v>
      </c>
      <c r="Q788" s="26" t="str">
        <f>VLOOKUP(B788,辅助信息!E:M,9,FALSE)</f>
        <v>ZTWM-CDGS-XS-2024-0248-五冶钢构-南充市医学院项目</v>
      </c>
      <c r="R788" s="26"/>
    </row>
    <row r="789" hidden="1" spans="2:18">
      <c r="B789" s="40" t="s">
        <v>89</v>
      </c>
      <c r="C789" s="70">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6"/>
      <c r="M789" s="91">
        <v>45718</v>
      </c>
      <c r="O789" s="62">
        <f ca="1" t="shared" si="22"/>
        <v>0</v>
      </c>
      <c r="P789" s="62">
        <f ca="1" t="shared" si="23"/>
        <v>242</v>
      </c>
      <c r="Q789" s="26" t="str">
        <f>VLOOKUP(B789,辅助信息!E:M,9,FALSE)</f>
        <v>ZTWM-CDGS-XS-2024-0248-五冶钢构-南充市医学院项目</v>
      </c>
      <c r="R789" s="26"/>
    </row>
    <row r="790" hidden="1" spans="2:18">
      <c r="B790" s="40" t="s">
        <v>20</v>
      </c>
      <c r="C790" s="70">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7"/>
      <c r="M790" s="91"/>
      <c r="Q790" s="26"/>
      <c r="R790" s="26"/>
    </row>
    <row r="791" hidden="1" spans="1:18">
      <c r="A791" s="101" t="s">
        <v>109</v>
      </c>
      <c r="B791" s="40" t="s">
        <v>47</v>
      </c>
      <c r="C791" s="70">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7" t="str">
        <f>VLOOKUP(B791,辅助信息!E:J,6,FALSE)</f>
        <v>控制炉批号！多了现场不收！,优先安排达钢,提前联系到场规格及数量</v>
      </c>
      <c r="M791" s="91">
        <v>45718</v>
      </c>
      <c r="O791" s="62">
        <f ca="1" t="shared" ref="O791:O797" si="24">IF(OR(M791="",N791&lt;&gt;""),"",MAX(M791-TODAY(),0))</f>
        <v>0</v>
      </c>
      <c r="P791" s="62">
        <f ca="1" t="shared" ref="P791:P797" si="25">IF(M791="","",IF(N791&lt;&gt;"",MAX(N791-M791,0),IF(TODAY()&gt;M791,TODAY()-M791,0)))</f>
        <v>242</v>
      </c>
      <c r="Q791" s="26" t="str">
        <f>VLOOKUP(B791,辅助信息!E:M,9,FALSE)</f>
        <v>ZTWM-CDGS-XS-2024-0134-商投建工达州中医药科技成果示范园项目</v>
      </c>
      <c r="R791" s="26"/>
    </row>
    <row r="792" hidden="1" spans="2:18">
      <c r="B792" s="40" t="s">
        <v>47</v>
      </c>
      <c r="C792" s="70">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6"/>
      <c r="M792" s="91">
        <v>45718</v>
      </c>
      <c r="O792" s="62">
        <f ca="1" t="shared" si="24"/>
        <v>0</v>
      </c>
      <c r="P792" s="62">
        <f ca="1" t="shared" si="25"/>
        <v>242</v>
      </c>
      <c r="Q792" s="26" t="str">
        <f>VLOOKUP(B792,辅助信息!E:M,9,FALSE)</f>
        <v>ZTWM-CDGS-XS-2024-0134-商投建工达州中医药科技成果示范园项目</v>
      </c>
      <c r="R792" s="26"/>
    </row>
    <row r="793" hidden="1" spans="2:18">
      <c r="B793" s="40" t="s">
        <v>68</v>
      </c>
      <c r="C793" s="70">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7" t="str">
        <f>VLOOKUP(B793,辅助信息!E:J,6,FALSE)</f>
        <v>控制炉批号！多了现场不收！,优先安排达钢,提前联系到场规格及数量</v>
      </c>
      <c r="M793" s="91">
        <v>45720</v>
      </c>
      <c r="O793" s="62">
        <f ca="1" t="shared" si="24"/>
        <v>0</v>
      </c>
      <c r="P793" s="62">
        <f ca="1" t="shared" si="25"/>
        <v>240</v>
      </c>
      <c r="Q793" s="26" t="str">
        <f>VLOOKUP(B793,辅助信息!E:M,9,FALSE)</f>
        <v>ZTWM-CDGS-XS-2024-0134-商投建工达州中医药科技成果示范园项目</v>
      </c>
      <c r="R793" s="26"/>
    </row>
    <row r="794" hidden="1" spans="2:18">
      <c r="B794" s="40" t="s">
        <v>68</v>
      </c>
      <c r="C794" s="70">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6"/>
      <c r="M794" s="91">
        <v>45720</v>
      </c>
      <c r="O794" s="62">
        <f ca="1" t="shared" si="24"/>
        <v>0</v>
      </c>
      <c r="P794" s="62">
        <f ca="1" t="shared" si="25"/>
        <v>240</v>
      </c>
      <c r="Q794" s="26" t="str">
        <f>VLOOKUP(B794,辅助信息!E:M,9,FALSE)</f>
        <v>ZTWM-CDGS-XS-2024-0134-商投建工达州中医药科技成果示范园项目</v>
      </c>
      <c r="R794" s="26"/>
    </row>
    <row r="795" hidden="1" spans="2:18">
      <c r="B795" s="40" t="s">
        <v>44</v>
      </c>
      <c r="C795" s="70">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7" t="str">
        <f>VLOOKUP(B795,辅助信息!E:J,6,FALSE)</f>
        <v>对方卸车</v>
      </c>
      <c r="M795" s="91">
        <v>45718</v>
      </c>
      <c r="O795" s="62">
        <f ca="1" t="shared" si="24"/>
        <v>0</v>
      </c>
      <c r="P795" s="62">
        <f ca="1" t="shared" si="25"/>
        <v>242</v>
      </c>
      <c r="Q795" s="26" t="str">
        <f>VLOOKUP(B795,辅助信息!E:M,9,FALSE)</f>
        <v>ZTWM-CDGS-XS-2024-0189-华西集采-酒城南项目</v>
      </c>
      <c r="R795" s="26"/>
    </row>
    <row r="796" hidden="1" spans="2:18">
      <c r="B796" s="40" t="s">
        <v>44</v>
      </c>
      <c r="C796" s="70">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8"/>
      <c r="M796" s="91">
        <v>45718</v>
      </c>
      <c r="O796" s="62">
        <f ca="1" t="shared" si="24"/>
        <v>0</v>
      </c>
      <c r="P796" s="62">
        <f ca="1" t="shared" si="25"/>
        <v>242</v>
      </c>
      <c r="Q796" s="26" t="str">
        <f>VLOOKUP(B796,辅助信息!E:M,9,FALSE)</f>
        <v>ZTWM-CDGS-XS-2024-0189-华西集采-酒城南项目</v>
      </c>
      <c r="R796" s="26"/>
    </row>
    <row r="797" hidden="1" spans="2:18">
      <c r="B797" s="40" t="s">
        <v>44</v>
      </c>
      <c r="C797" s="70">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6"/>
      <c r="M797" s="91">
        <v>45718</v>
      </c>
      <c r="O797" s="62">
        <f ca="1" t="shared" si="24"/>
        <v>0</v>
      </c>
      <c r="P797" s="62">
        <f ca="1" t="shared" si="25"/>
        <v>242</v>
      </c>
      <c r="Q797" s="26" t="str">
        <f>VLOOKUP(B797,辅助信息!E:M,9,FALSE)</f>
        <v>ZTWM-CDGS-XS-2024-0189-华西集采-酒城南项目</v>
      </c>
      <c r="R797" s="26"/>
    </row>
    <row r="798" hidden="1" spans="2:18">
      <c r="B798" s="40" t="s">
        <v>44</v>
      </c>
      <c r="C798" s="70">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7"/>
      <c r="M798" s="91"/>
      <c r="Q798" s="26"/>
      <c r="R798" s="26"/>
    </row>
    <row r="799" hidden="1" spans="2:18">
      <c r="B799" s="40" t="s">
        <v>87</v>
      </c>
      <c r="C799" s="70">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7" t="e">
        <f>VLOOKUP(B799,辅助信息!E:J,6,FALSE)</f>
        <v>#N/A</v>
      </c>
      <c r="M799" s="91">
        <v>45719</v>
      </c>
      <c r="O799" s="62">
        <f ca="1" t="shared" ref="O799:O846" si="26">IF(OR(M799="",N799&lt;&gt;""),"",MAX(M799-TODAY(),0))</f>
        <v>0</v>
      </c>
      <c r="P799" s="62">
        <f ca="1" t="shared" ref="P799:P858" si="27">IF(M799="","",IF(N799&lt;&gt;"",MAX(N799-M799,0),IF(TODAY()&gt;M799,TODAY()-M799,0)))</f>
        <v>241</v>
      </c>
      <c r="Q799" s="26" t="e">
        <f>VLOOKUP(B799,辅助信息!E:M,9,FALSE)</f>
        <v>#N/A</v>
      </c>
      <c r="R799" s="26"/>
    </row>
    <row r="800" hidden="1" spans="2:18">
      <c r="B800" s="40" t="s">
        <v>87</v>
      </c>
      <c r="C800" s="70">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6"/>
      <c r="M800" s="91">
        <v>45719</v>
      </c>
      <c r="O800" s="62">
        <f ca="1" t="shared" si="26"/>
        <v>0</v>
      </c>
      <c r="P800" s="62">
        <f ca="1" t="shared" si="27"/>
        <v>241</v>
      </c>
      <c r="Q800" s="26" t="e">
        <f>VLOOKUP(B800,辅助信息!E:M,9,FALSE)</f>
        <v>#N/A</v>
      </c>
      <c r="R800" s="26"/>
    </row>
    <row r="801" hidden="1" spans="2:18">
      <c r="B801" s="40" t="s">
        <v>74</v>
      </c>
      <c r="C801" s="70">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7" t="e">
        <f>VLOOKUP(B801,辅助信息!E:J,6,FALSE)</f>
        <v>#N/A</v>
      </c>
      <c r="M801" s="91">
        <v>45724</v>
      </c>
      <c r="O801" s="62">
        <f ca="1" t="shared" si="26"/>
        <v>0</v>
      </c>
      <c r="P801" s="62">
        <f ca="1" t="shared" si="27"/>
        <v>236</v>
      </c>
      <c r="Q801" s="26" t="e">
        <f>VLOOKUP(B801,辅助信息!E:M,9,FALSE)</f>
        <v>#N/A</v>
      </c>
      <c r="R801" s="26"/>
    </row>
    <row r="802" hidden="1" spans="2:18">
      <c r="B802" s="40" t="s">
        <v>74</v>
      </c>
      <c r="C802" s="70">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6"/>
      <c r="M802" s="91">
        <v>45724</v>
      </c>
      <c r="O802" s="62">
        <f ca="1" t="shared" si="26"/>
        <v>0</v>
      </c>
      <c r="P802" s="62">
        <f ca="1" t="shared" si="27"/>
        <v>236</v>
      </c>
      <c r="Q802" s="26" t="e">
        <f>VLOOKUP(B802,辅助信息!E:M,9,FALSE)</f>
        <v>#N/A</v>
      </c>
      <c r="R802" s="26"/>
    </row>
    <row r="803" hidden="1" spans="2:18">
      <c r="B803" s="40" t="s">
        <v>64</v>
      </c>
      <c r="C803" s="70">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7" t="e">
        <f>VLOOKUP(B803,辅助信息!E:J,6,FALSE)</f>
        <v>#N/A</v>
      </c>
      <c r="M803" s="91">
        <v>45718</v>
      </c>
      <c r="O803" s="62">
        <f ca="1" t="shared" si="26"/>
        <v>0</v>
      </c>
      <c r="P803" s="62">
        <f ca="1" t="shared" si="27"/>
        <v>242</v>
      </c>
      <c r="Q803" s="26" t="e">
        <f>VLOOKUP(B803,辅助信息!E:M,9,FALSE)</f>
        <v>#N/A</v>
      </c>
      <c r="R803" s="26"/>
    </row>
    <row r="804" hidden="1" spans="2:18">
      <c r="B804" s="40" t="s">
        <v>64</v>
      </c>
      <c r="C804" s="70">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6"/>
      <c r="M804" s="91">
        <v>45718</v>
      </c>
      <c r="O804" s="62">
        <f ca="1" t="shared" si="26"/>
        <v>0</v>
      </c>
      <c r="P804" s="62">
        <f ca="1" t="shared" si="27"/>
        <v>242</v>
      </c>
      <c r="Q804" s="26" t="e">
        <f>VLOOKUP(B804,辅助信息!E:M,9,FALSE)</f>
        <v>#N/A</v>
      </c>
      <c r="R804" s="26"/>
    </row>
    <row r="805" hidden="1" spans="2:18">
      <c r="B805" s="40" t="s">
        <v>106</v>
      </c>
      <c r="C805" s="70">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79">
        <f>VLOOKUP(J805,辅助信息!H:I,2,FALSE)</f>
        <v>15228205853</v>
      </c>
      <c r="L805" s="80" t="str">
        <f>VLOOKUP(B805,辅助信息!E:J,6,FALSE)</f>
        <v>提前联系到场规格</v>
      </c>
      <c r="M805" s="91">
        <v>45719</v>
      </c>
      <c r="O805" s="62">
        <f ca="1" t="shared" si="26"/>
        <v>0</v>
      </c>
      <c r="P805" s="62">
        <f ca="1" t="shared" si="27"/>
        <v>241</v>
      </c>
      <c r="Q805" s="26" t="str">
        <f>VLOOKUP(B805,辅助信息!E:M,9,FALSE)</f>
        <v>ZTWM-CDGS-XS-2024-0169-中冶西部钢构-宜宾市南溪区幸福路东路,高县月江镇建设项目</v>
      </c>
      <c r="R805" s="26"/>
    </row>
    <row r="806" hidden="1" spans="2:18">
      <c r="B806" s="40" t="s">
        <v>106</v>
      </c>
      <c r="C806" s="70">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79">
        <f>VLOOKUP(J806,辅助信息!H:I,2,FALSE)</f>
        <v>15228205853</v>
      </c>
      <c r="M806" s="91">
        <v>45719</v>
      </c>
      <c r="O806" s="62">
        <f ca="1" t="shared" si="26"/>
        <v>0</v>
      </c>
      <c r="P806" s="62">
        <f ca="1" t="shared" si="27"/>
        <v>241</v>
      </c>
      <c r="Q806" s="26" t="str">
        <f>VLOOKUP(B806,辅助信息!E:M,9,FALSE)</f>
        <v>ZTWM-CDGS-XS-2024-0169-中冶西部钢构-宜宾市南溪区幸福路东路,高县月江镇建设项目</v>
      </c>
      <c r="R806" s="26"/>
    </row>
    <row r="807" hidden="1" spans="2:18">
      <c r="B807" s="40" t="s">
        <v>106</v>
      </c>
      <c r="C807" s="70">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79">
        <f>VLOOKUP(J807,辅助信息!H:I,2,FALSE)</f>
        <v>15228205853</v>
      </c>
      <c r="M807" s="91">
        <v>45719</v>
      </c>
      <c r="O807" s="62">
        <f ca="1" t="shared" si="26"/>
        <v>0</v>
      </c>
      <c r="P807" s="62">
        <f ca="1" t="shared" si="27"/>
        <v>241</v>
      </c>
      <c r="Q807" s="26" t="str">
        <f>VLOOKUP(B807,辅助信息!E:M,9,FALSE)</f>
        <v>ZTWM-CDGS-XS-2024-0169-中冶西部钢构-宜宾市南溪区幸福路东路,高县月江镇建设项目</v>
      </c>
      <c r="R807" s="26"/>
    </row>
    <row r="808" hidden="1" spans="2:18">
      <c r="B808" s="40" t="s">
        <v>106</v>
      </c>
      <c r="C808" s="70">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79">
        <f>VLOOKUP(J808,辅助信息!H:I,2,FALSE)</f>
        <v>15228205853</v>
      </c>
      <c r="M808" s="91">
        <v>45719</v>
      </c>
      <c r="O808" s="62">
        <f ca="1" t="shared" si="26"/>
        <v>0</v>
      </c>
      <c r="P808" s="62">
        <f ca="1" t="shared" si="27"/>
        <v>241</v>
      </c>
      <c r="Q808" s="26" t="str">
        <f>VLOOKUP(B808,辅助信息!E:M,9,FALSE)</f>
        <v>ZTWM-CDGS-XS-2024-0169-中冶西部钢构-宜宾市南溪区幸福路东路,高县月江镇建设项目</v>
      </c>
      <c r="R808" s="26"/>
    </row>
    <row r="809" hidden="1" spans="2:18">
      <c r="B809" s="40" t="s">
        <v>25</v>
      </c>
      <c r="C809" s="70">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79" t="e">
        <f>VLOOKUP(J809,辅助信息!H:I,2,FALSE)</f>
        <v>#N/A</v>
      </c>
      <c r="L809" s="80" t="e">
        <f>VLOOKUP(B809,辅助信息!E:J,6,FALSE)</f>
        <v>#N/A</v>
      </c>
      <c r="M809" s="91">
        <v>45719</v>
      </c>
      <c r="O809" s="62">
        <f ca="1" t="shared" si="26"/>
        <v>0</v>
      </c>
      <c r="P809" s="62">
        <f ca="1" t="shared" si="27"/>
        <v>241</v>
      </c>
      <c r="Q809" s="26" t="e">
        <f>VLOOKUP(B809,辅助信息!E:M,9,FALSE)</f>
        <v>#N/A</v>
      </c>
      <c r="R809" s="26"/>
    </row>
    <row r="810" hidden="1" spans="2:18">
      <c r="B810" s="40" t="s">
        <v>25</v>
      </c>
      <c r="C810" s="70">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79" t="e">
        <f>VLOOKUP(J810,辅助信息!H:I,2,FALSE)</f>
        <v>#N/A</v>
      </c>
      <c r="M810" s="91">
        <v>45719</v>
      </c>
      <c r="O810" s="62">
        <f ca="1" t="shared" si="26"/>
        <v>0</v>
      </c>
      <c r="P810" s="62">
        <f ca="1" t="shared" si="27"/>
        <v>241</v>
      </c>
      <c r="Q810" s="26" t="e">
        <f>VLOOKUP(B810,辅助信息!E:M,9,FALSE)</f>
        <v>#N/A</v>
      </c>
      <c r="R810" s="26"/>
    </row>
    <row r="811" hidden="1" spans="2:18">
      <c r="B811" s="83" t="s">
        <v>25</v>
      </c>
      <c r="C811" s="84">
        <v>45719</v>
      </c>
      <c r="D811" s="83" t="e">
        <f>VLOOKUP(B811,辅助信息!E:K,7,FALSE)</f>
        <v>#N/A</v>
      </c>
      <c r="E811" s="83" t="str">
        <f>VLOOKUP(F811,辅助信息!A:B,2,FALSE)</f>
        <v>螺纹钢</v>
      </c>
      <c r="F811" s="83" t="s">
        <v>65</v>
      </c>
      <c r="G811" s="85">
        <v>26</v>
      </c>
      <c r="H811" s="85" t="e">
        <f>_xlfn._xlws.FILTER('[1]2025年已发货'!$E:$E,'[1]2025年已发货'!$F:$F&amp;'[1]2025年已发货'!$C:$C&amp;'[1]2025年已发货'!$G:$G&amp;'[1]2025年已发货'!$H:$H=C811&amp;F811&amp;I811&amp;J811,"未发货")</f>
        <v>#N/A</v>
      </c>
      <c r="I811" s="83" t="e">
        <f>VLOOKUP(B811,辅助信息!E:I,3,FALSE)</f>
        <v>#N/A</v>
      </c>
      <c r="J811" s="83" t="e">
        <f>VLOOKUP(B811,辅助信息!E:I,4,FALSE)</f>
        <v>#N/A</v>
      </c>
      <c r="K811" s="102" t="e">
        <f>VLOOKUP(J811,辅助信息!H:I,2,FALSE)</f>
        <v>#N/A</v>
      </c>
      <c r="M811" s="91">
        <v>45719</v>
      </c>
      <c r="O811" s="62">
        <f ca="1" t="shared" si="26"/>
        <v>0</v>
      </c>
      <c r="P811" s="62">
        <f ca="1" t="shared" si="27"/>
        <v>241</v>
      </c>
      <c r="Q811" s="26" t="e">
        <f>VLOOKUP(B811,辅助信息!E:M,9,FALSE)</f>
        <v>#N/A</v>
      </c>
      <c r="R811" s="26"/>
    </row>
    <row r="812" hidden="1" spans="2:18">
      <c r="B812" s="40" t="s">
        <v>108</v>
      </c>
      <c r="C812" s="70">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7" t="e">
        <f>VLOOKUP(B812,辅助信息!E:J,6,FALSE)</f>
        <v>#N/A</v>
      </c>
      <c r="M812" s="91">
        <v>45717</v>
      </c>
      <c r="O812" s="62">
        <f ca="1" t="shared" si="26"/>
        <v>0</v>
      </c>
      <c r="P812" s="62">
        <f ca="1" t="shared" si="27"/>
        <v>243</v>
      </c>
      <c r="Q812" s="26" t="e">
        <f>VLOOKUP(B812,辅助信息!E:M,9,FALSE)</f>
        <v>#N/A</v>
      </c>
      <c r="R812" s="26"/>
    </row>
    <row r="813" hidden="1" spans="2:18">
      <c r="B813" s="40" t="s">
        <v>108</v>
      </c>
      <c r="C813" s="70">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8"/>
      <c r="M813" s="91">
        <v>45717</v>
      </c>
      <c r="O813" s="62">
        <f ca="1" t="shared" si="26"/>
        <v>0</v>
      </c>
      <c r="P813" s="62">
        <f ca="1" t="shared" si="27"/>
        <v>243</v>
      </c>
      <c r="Q813" s="26" t="e">
        <f>VLOOKUP(B813,辅助信息!E:M,9,FALSE)</f>
        <v>#N/A</v>
      </c>
      <c r="R813" s="26"/>
    </row>
    <row r="814" hidden="1" spans="2:18">
      <c r="B814" s="40" t="s">
        <v>108</v>
      </c>
      <c r="C814" s="70">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6"/>
      <c r="M814" s="91">
        <v>45717</v>
      </c>
      <c r="O814" s="62">
        <f ca="1" t="shared" si="26"/>
        <v>0</v>
      </c>
      <c r="P814" s="62">
        <f ca="1" t="shared" si="27"/>
        <v>243</v>
      </c>
      <c r="Q814" s="26" t="e">
        <f>VLOOKUP(B814,辅助信息!E:M,9,FALSE)</f>
        <v>#N/A</v>
      </c>
      <c r="R814" s="26"/>
    </row>
    <row r="815" hidden="1" spans="2:18">
      <c r="B815" s="40" t="s">
        <v>56</v>
      </c>
      <c r="C815" s="70">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7" t="str">
        <f>VLOOKUP(B815,辅助信息!E:J,6,FALSE)</f>
        <v>控制炉批号！多了现场不收！,优先安排达钢,提前联系到场规格及数量</v>
      </c>
      <c r="M815" s="91">
        <v>45716</v>
      </c>
      <c r="O815" s="62">
        <f ca="1" t="shared" si="26"/>
        <v>0</v>
      </c>
      <c r="P815" s="62">
        <f ca="1" t="shared" si="27"/>
        <v>244</v>
      </c>
      <c r="Q815" s="26" t="str">
        <f>VLOOKUP(B815,辅助信息!E:M,9,FALSE)</f>
        <v>ZTWM-CDGS-XS-2024-0134-商投建工达州中医药科技成果示范园项目</v>
      </c>
      <c r="R815" s="26"/>
    </row>
    <row r="816" hidden="1" spans="2:18">
      <c r="B816" s="40" t="s">
        <v>56</v>
      </c>
      <c r="C816" s="70">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6"/>
      <c r="M816" s="91">
        <v>45716</v>
      </c>
      <c r="O816" s="62">
        <f ca="1" t="shared" si="26"/>
        <v>0</v>
      </c>
      <c r="P816" s="62">
        <f ca="1" t="shared" si="27"/>
        <v>244</v>
      </c>
      <c r="Q816" s="26" t="str">
        <f>VLOOKUP(B816,辅助信息!E:M,9,FALSE)</f>
        <v>ZTWM-CDGS-XS-2024-0134-商投建工达州中医药科技成果示范园项目</v>
      </c>
      <c r="R816" s="26"/>
    </row>
    <row r="817" ht="33.75" hidden="1" customHeight="1" spans="2:18">
      <c r="B817" s="40" t="s">
        <v>68</v>
      </c>
      <c r="C817" s="70">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7" t="str">
        <f>VLOOKUP(B817,辅助信息!E:J,6,FALSE)</f>
        <v>控制炉批号！多了现场不收！,优先安排达钢,提前联系到场规格及数量</v>
      </c>
      <c r="M817" s="91">
        <v>45720</v>
      </c>
      <c r="O817" s="62">
        <f ca="1" t="shared" si="26"/>
        <v>0</v>
      </c>
      <c r="P817" s="62">
        <f ca="1" t="shared" si="27"/>
        <v>240</v>
      </c>
      <c r="Q817" s="26" t="str">
        <f>VLOOKUP(B817,辅助信息!E:M,9,FALSE)</f>
        <v>ZTWM-CDGS-XS-2024-0134-商投建工达州中医药科技成果示范园项目</v>
      </c>
      <c r="R817" s="26"/>
    </row>
    <row r="818" hidden="1" spans="2:18">
      <c r="B818" s="40" t="s">
        <v>64</v>
      </c>
      <c r="C818" s="70">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7" t="e">
        <f>VLOOKUP(B818,辅助信息!E:J,6,FALSE)</f>
        <v>#N/A</v>
      </c>
      <c r="M818" s="91">
        <v>45718</v>
      </c>
      <c r="O818" s="62">
        <f ca="1" t="shared" si="26"/>
        <v>0</v>
      </c>
      <c r="P818" s="62">
        <f ca="1" t="shared" si="27"/>
        <v>242</v>
      </c>
      <c r="Q818" s="26" t="e">
        <f>VLOOKUP(B818,辅助信息!E:M,9,FALSE)</f>
        <v>#N/A</v>
      </c>
      <c r="R818" s="26"/>
    </row>
    <row r="819" hidden="1" spans="2:18">
      <c r="B819" s="40" t="s">
        <v>64</v>
      </c>
      <c r="C819" s="70">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6"/>
      <c r="M819" s="91">
        <v>45718</v>
      </c>
      <c r="O819" s="62">
        <f ca="1" t="shared" si="26"/>
        <v>0</v>
      </c>
      <c r="P819" s="62">
        <f ca="1" t="shared" si="27"/>
        <v>242</v>
      </c>
      <c r="Q819" s="26" t="e">
        <f>VLOOKUP(B819,辅助信息!E:M,9,FALSE)</f>
        <v>#N/A</v>
      </c>
      <c r="R819" s="26"/>
    </row>
    <row r="820" hidden="1" spans="1:18">
      <c r="A820" s="71" t="s">
        <v>110</v>
      </c>
      <c r="B820" s="40" t="s">
        <v>84</v>
      </c>
      <c r="C820" s="70">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7" t="e">
        <f>VLOOKUP(B820,辅助信息!E:J,6,FALSE)</f>
        <v>#N/A</v>
      </c>
      <c r="M820" s="91">
        <v>45722</v>
      </c>
      <c r="O820" s="62">
        <f ca="1" t="shared" si="26"/>
        <v>0</v>
      </c>
      <c r="P820" s="62">
        <f ca="1" t="shared" si="27"/>
        <v>238</v>
      </c>
      <c r="Q820" s="26" t="e">
        <f>VLOOKUP(B820,辅助信息!E:M,9,FALSE)</f>
        <v>#N/A</v>
      </c>
      <c r="R820" s="26"/>
    </row>
    <row r="821" hidden="1" spans="2:18">
      <c r="B821" s="40" t="s">
        <v>84</v>
      </c>
      <c r="C821" s="70">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8"/>
      <c r="M821" s="91">
        <v>45722</v>
      </c>
      <c r="O821" s="62">
        <f ca="1" t="shared" si="26"/>
        <v>0</v>
      </c>
      <c r="P821" s="62">
        <f ca="1" t="shared" si="27"/>
        <v>238</v>
      </c>
      <c r="Q821" s="26" t="e">
        <f>VLOOKUP(B821,辅助信息!E:M,9,FALSE)</f>
        <v>#N/A</v>
      </c>
      <c r="R821" s="26"/>
    </row>
    <row r="822" hidden="1" spans="2:18">
      <c r="B822" s="40" t="s">
        <v>84</v>
      </c>
      <c r="C822" s="70">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8"/>
      <c r="M822" s="91">
        <v>45722</v>
      </c>
      <c r="O822" s="62">
        <f ca="1" t="shared" si="26"/>
        <v>0</v>
      </c>
      <c r="P822" s="62">
        <f ca="1" t="shared" si="27"/>
        <v>238</v>
      </c>
      <c r="Q822" s="26" t="e">
        <f>VLOOKUP(B822,辅助信息!E:M,9,FALSE)</f>
        <v>#N/A</v>
      </c>
      <c r="R822" s="26"/>
    </row>
    <row r="823" hidden="1" spans="2:18">
      <c r="B823" s="40" t="s">
        <v>84</v>
      </c>
      <c r="C823" s="70">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8"/>
      <c r="M823" s="91">
        <v>45722</v>
      </c>
      <c r="O823" s="62">
        <f ca="1" t="shared" si="26"/>
        <v>0</v>
      </c>
      <c r="P823" s="62">
        <f ca="1" t="shared" si="27"/>
        <v>238</v>
      </c>
      <c r="Q823" s="26" t="e">
        <f>VLOOKUP(B823,辅助信息!E:M,9,FALSE)</f>
        <v>#N/A</v>
      </c>
      <c r="R823" s="26"/>
    </row>
    <row r="824" hidden="1" spans="2:18">
      <c r="B824" s="40" t="s">
        <v>84</v>
      </c>
      <c r="C824" s="70">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6"/>
      <c r="M824" s="91">
        <v>45722</v>
      </c>
      <c r="O824" s="62">
        <f ca="1" t="shared" si="26"/>
        <v>0</v>
      </c>
      <c r="P824" s="62">
        <f ca="1" t="shared" si="27"/>
        <v>238</v>
      </c>
      <c r="Q824" s="26" t="e">
        <f>VLOOKUP(B824,辅助信息!E:M,9,FALSE)</f>
        <v>#N/A</v>
      </c>
      <c r="R824" s="26"/>
    </row>
    <row r="825" hidden="1" spans="2:18">
      <c r="B825" s="40" t="s">
        <v>112</v>
      </c>
      <c r="C825" s="70">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7" t="str">
        <f>VLOOKUP(B825,辅助信息!E:J,6,FALSE)</f>
        <v>控制炉批号！多了现场不收！,优先安排达钢,提前联系到场规格及数量</v>
      </c>
      <c r="M825" s="91">
        <v>45723</v>
      </c>
      <c r="O825" s="62">
        <f ca="1" t="shared" si="26"/>
        <v>0</v>
      </c>
      <c r="P825" s="62">
        <f ca="1" t="shared" si="27"/>
        <v>237</v>
      </c>
      <c r="Q825" s="26" t="str">
        <f>VLOOKUP(B825,辅助信息!E:M,9,FALSE)</f>
        <v>ZTWM-CDGS-XS-2024-0134-商投建工达州中医药科技成果示范园项目</v>
      </c>
      <c r="R825" s="26"/>
    </row>
    <row r="826" hidden="1" spans="2:18">
      <c r="B826" s="40" t="s">
        <v>112</v>
      </c>
      <c r="C826" s="70">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6"/>
      <c r="M826" s="91">
        <v>45723</v>
      </c>
      <c r="O826" s="62">
        <f ca="1" t="shared" si="26"/>
        <v>0</v>
      </c>
      <c r="P826" s="62">
        <f ca="1" t="shared" si="27"/>
        <v>237</v>
      </c>
      <c r="Q826" s="26" t="str">
        <f>VLOOKUP(B826,辅助信息!E:M,9,FALSE)</f>
        <v>ZTWM-CDGS-XS-2024-0134-商投建工达州中医药科技成果示范园项目</v>
      </c>
      <c r="R826" s="26"/>
    </row>
    <row r="827" hidden="1" spans="2:18">
      <c r="B827" s="40" t="s">
        <v>113</v>
      </c>
      <c r="C827" s="70">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7" t="str">
        <f>VLOOKUP(B827,辅助信息!E:J,6,FALSE)</f>
        <v>送货单：送货单位：南充思临新材料科技有限公司,收货单位：五冶集团川北(南充)建设有限公司,项目名称：南充医学科学产业园,送货车型13米,装货前联系收货人核实到场规格</v>
      </c>
      <c r="M827" s="91">
        <v>45722</v>
      </c>
      <c r="O827" s="62">
        <f ca="1" t="shared" si="26"/>
        <v>0</v>
      </c>
      <c r="P827" s="62">
        <f ca="1" t="shared" si="27"/>
        <v>238</v>
      </c>
      <c r="Q827" s="26" t="str">
        <f>VLOOKUP(B827,辅助信息!E:M,9,FALSE)</f>
        <v>ZTWM-CDGS-XS-2024-0248-五冶钢构-南充市医学院项目</v>
      </c>
      <c r="R827" s="26"/>
    </row>
    <row r="828" hidden="1" spans="2:18">
      <c r="B828" s="40" t="s">
        <v>113</v>
      </c>
      <c r="C828" s="70">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8"/>
      <c r="M828" s="91">
        <v>45722</v>
      </c>
      <c r="O828" s="62">
        <f ca="1" t="shared" si="26"/>
        <v>0</v>
      </c>
      <c r="P828" s="62">
        <f ca="1" t="shared" si="27"/>
        <v>238</v>
      </c>
      <c r="Q828" s="26" t="str">
        <f>VLOOKUP(B828,辅助信息!E:M,9,FALSE)</f>
        <v>ZTWM-CDGS-XS-2024-0248-五冶钢构-南充市医学院项目</v>
      </c>
      <c r="R828" s="26"/>
    </row>
    <row r="829" hidden="1" spans="2:18">
      <c r="B829" s="40" t="s">
        <v>113</v>
      </c>
      <c r="C829" s="70">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8"/>
      <c r="M829" s="91">
        <v>45722</v>
      </c>
      <c r="O829" s="62">
        <f ca="1" t="shared" si="26"/>
        <v>0</v>
      </c>
      <c r="P829" s="62">
        <f ca="1" t="shared" si="27"/>
        <v>238</v>
      </c>
      <c r="Q829" s="26" t="str">
        <f>VLOOKUP(B829,辅助信息!E:M,9,FALSE)</f>
        <v>ZTWM-CDGS-XS-2024-0248-五冶钢构-南充市医学院项目</v>
      </c>
      <c r="R829" s="26"/>
    </row>
    <row r="830" hidden="1" spans="2:18">
      <c r="B830" s="40" t="s">
        <v>60</v>
      </c>
      <c r="C830" s="70">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8"/>
      <c r="M830" s="91">
        <v>45722</v>
      </c>
      <c r="O830" s="62">
        <f ca="1" t="shared" si="26"/>
        <v>0</v>
      </c>
      <c r="P830" s="62">
        <f ca="1" t="shared" si="27"/>
        <v>238</v>
      </c>
      <c r="Q830" s="26" t="str">
        <f>VLOOKUP(B830,辅助信息!E:M,9,FALSE)</f>
        <v>ZTWM-CDGS-XS-2024-0248-五冶钢构-南充市医学院项目</v>
      </c>
      <c r="R830" s="26"/>
    </row>
    <row r="831" hidden="1" spans="2:18">
      <c r="B831" s="40" t="s">
        <v>60</v>
      </c>
      <c r="C831" s="70">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8"/>
      <c r="M831" s="91">
        <v>45722</v>
      </c>
      <c r="O831" s="62">
        <f ca="1" t="shared" si="26"/>
        <v>0</v>
      </c>
      <c r="P831" s="62">
        <f ca="1" t="shared" si="27"/>
        <v>238</v>
      </c>
      <c r="Q831" s="26" t="str">
        <f>VLOOKUP(B831,辅助信息!E:M,9,FALSE)</f>
        <v>ZTWM-CDGS-XS-2024-0248-五冶钢构-南充市医学院项目</v>
      </c>
      <c r="R831" s="26"/>
    </row>
    <row r="832" hidden="1" spans="2:18">
      <c r="B832" s="40" t="s">
        <v>60</v>
      </c>
      <c r="C832" s="70">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8"/>
      <c r="M832" s="91">
        <v>45722</v>
      </c>
      <c r="O832" s="62">
        <f ca="1" t="shared" si="26"/>
        <v>0</v>
      </c>
      <c r="P832" s="62">
        <f ca="1" t="shared" si="27"/>
        <v>238</v>
      </c>
      <c r="Q832" s="26" t="str">
        <f>VLOOKUP(B832,辅助信息!E:M,9,FALSE)</f>
        <v>ZTWM-CDGS-XS-2024-0248-五冶钢构-南充市医学院项目</v>
      </c>
      <c r="R832" s="26"/>
    </row>
    <row r="833" hidden="1" spans="2:18">
      <c r="B833" s="40" t="s">
        <v>60</v>
      </c>
      <c r="C833" s="70">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6"/>
      <c r="M833" s="91">
        <v>45722</v>
      </c>
      <c r="O833" s="62">
        <f ca="1" t="shared" si="26"/>
        <v>0</v>
      </c>
      <c r="P833" s="62">
        <f ca="1" t="shared" si="27"/>
        <v>238</v>
      </c>
      <c r="Q833" s="26" t="str">
        <f>VLOOKUP(B833,辅助信息!E:M,9,FALSE)</f>
        <v>ZTWM-CDGS-XS-2024-0248-五冶钢构-南充市医学院项目</v>
      </c>
      <c r="R833" s="26"/>
    </row>
    <row r="834" hidden="1" spans="2:18">
      <c r="B834" s="40" t="s">
        <v>56</v>
      </c>
      <c r="C834" s="70">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7" t="str">
        <f>VLOOKUP(B834,辅助信息!E:J,6,FALSE)</f>
        <v>控制炉批号！多了现场不收！,优先安排达钢,提前联系到场规格及数量</v>
      </c>
      <c r="M834" s="91">
        <v>45716</v>
      </c>
      <c r="O834" s="62">
        <f ca="1" t="shared" si="26"/>
        <v>0</v>
      </c>
      <c r="P834" s="62">
        <f ca="1" t="shared" si="27"/>
        <v>244</v>
      </c>
      <c r="Q834" s="26" t="str">
        <f>VLOOKUP(B834,辅助信息!E:M,9,FALSE)</f>
        <v>ZTWM-CDGS-XS-2024-0134-商投建工达州中医药科技成果示范园项目</v>
      </c>
      <c r="R834" s="26"/>
    </row>
    <row r="835" hidden="1" spans="2:18">
      <c r="B835" s="40" t="s">
        <v>56</v>
      </c>
      <c r="C835" s="70">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6"/>
      <c r="M835" s="91">
        <v>45716</v>
      </c>
      <c r="O835" s="62">
        <f ca="1" t="shared" si="26"/>
        <v>0</v>
      </c>
      <c r="P835" s="62">
        <f ca="1" t="shared" si="27"/>
        <v>244</v>
      </c>
      <c r="Q835" s="26" t="str">
        <f>VLOOKUP(B835,辅助信息!E:M,9,FALSE)</f>
        <v>ZTWM-CDGS-XS-2024-0134-商投建工达州中医药科技成果示范园项目</v>
      </c>
      <c r="R835" s="26"/>
    </row>
    <row r="836" ht="33.75" hidden="1" customHeight="1" spans="2:18">
      <c r="B836" s="40" t="s">
        <v>68</v>
      </c>
      <c r="C836" s="70">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7" t="str">
        <f>VLOOKUP(B836,辅助信息!E:J,6,FALSE)</f>
        <v>控制炉批号！多了现场不收！,优先安排达钢,提前联系到场规格及数量</v>
      </c>
      <c r="M836" s="91">
        <v>45720</v>
      </c>
      <c r="O836" s="62">
        <f ca="1" t="shared" si="26"/>
        <v>0</v>
      </c>
      <c r="P836" s="62">
        <f ca="1" t="shared" si="27"/>
        <v>240</v>
      </c>
      <c r="Q836" s="26" t="str">
        <f>VLOOKUP(B836,辅助信息!E:M,9,FALSE)</f>
        <v>ZTWM-CDGS-XS-2024-0134-商投建工达州中医药科技成果示范园项目</v>
      </c>
      <c r="R836" s="26"/>
    </row>
    <row r="837" hidden="1" spans="2:18">
      <c r="B837" s="40" t="s">
        <v>64</v>
      </c>
      <c r="C837" s="70">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7" t="e">
        <f>VLOOKUP(B837,辅助信息!E:J,6,FALSE)</f>
        <v>#N/A</v>
      </c>
      <c r="M837" s="91">
        <v>45718</v>
      </c>
      <c r="O837" s="62">
        <f ca="1" t="shared" si="26"/>
        <v>0</v>
      </c>
      <c r="P837" s="62">
        <f ca="1" t="shared" si="27"/>
        <v>242</v>
      </c>
      <c r="Q837" s="26" t="e">
        <f>VLOOKUP(B837,辅助信息!E:M,9,FALSE)</f>
        <v>#N/A</v>
      </c>
      <c r="R837" s="26"/>
    </row>
    <row r="838" hidden="1" spans="2:18">
      <c r="B838" s="40" t="s">
        <v>64</v>
      </c>
      <c r="C838" s="70">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6"/>
      <c r="M838" s="91">
        <v>45718</v>
      </c>
      <c r="O838" s="62">
        <f ca="1" t="shared" si="26"/>
        <v>0</v>
      </c>
      <c r="P838" s="62">
        <f ca="1" t="shared" si="27"/>
        <v>242</v>
      </c>
      <c r="Q838" s="26" t="e">
        <f>VLOOKUP(B838,辅助信息!E:M,9,FALSE)</f>
        <v>#N/A</v>
      </c>
      <c r="R838" s="26"/>
    </row>
    <row r="839" hidden="1" spans="1:18">
      <c r="A839" s="57" t="s">
        <v>110</v>
      </c>
      <c r="B839" s="40" t="s">
        <v>84</v>
      </c>
      <c r="C839" s="70">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7" t="e">
        <f>VLOOKUP(B839,辅助信息!E:J,6,FALSE)</f>
        <v>#N/A</v>
      </c>
      <c r="M839" s="91">
        <v>45722</v>
      </c>
      <c r="O839" s="62">
        <f ca="1" t="shared" si="26"/>
        <v>0</v>
      </c>
      <c r="P839" s="62">
        <f ca="1" t="shared" si="27"/>
        <v>238</v>
      </c>
      <c r="Q839" s="26" t="e">
        <f>VLOOKUP(B839,辅助信息!E:M,9,FALSE)</f>
        <v>#N/A</v>
      </c>
      <c r="R839" s="26"/>
    </row>
    <row r="840" hidden="1" spans="2:18">
      <c r="B840" s="40" t="s">
        <v>84</v>
      </c>
      <c r="C840" s="70">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8"/>
      <c r="M840" s="91">
        <v>45722</v>
      </c>
      <c r="O840" s="62">
        <f ca="1" t="shared" si="26"/>
        <v>0</v>
      </c>
      <c r="P840" s="62">
        <f ca="1" t="shared" si="27"/>
        <v>238</v>
      </c>
      <c r="Q840" s="26" t="e">
        <f>VLOOKUP(B840,辅助信息!E:M,9,FALSE)</f>
        <v>#N/A</v>
      </c>
      <c r="R840" s="26"/>
    </row>
    <row r="841" hidden="1" spans="2:18">
      <c r="B841" s="40" t="s">
        <v>84</v>
      </c>
      <c r="C841" s="70">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8"/>
      <c r="M841" s="91">
        <v>45722</v>
      </c>
      <c r="O841" s="62">
        <f ca="1" t="shared" si="26"/>
        <v>0</v>
      </c>
      <c r="P841" s="62">
        <f ca="1" t="shared" si="27"/>
        <v>238</v>
      </c>
      <c r="Q841" s="26" t="e">
        <f>VLOOKUP(B841,辅助信息!E:M,9,FALSE)</f>
        <v>#N/A</v>
      </c>
      <c r="R841" s="26"/>
    </row>
    <row r="842" hidden="1" spans="2:18">
      <c r="B842" s="40" t="s">
        <v>84</v>
      </c>
      <c r="C842" s="70">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8"/>
      <c r="M842" s="91">
        <v>45722</v>
      </c>
      <c r="O842" s="62">
        <f ca="1" t="shared" si="26"/>
        <v>0</v>
      </c>
      <c r="P842" s="62">
        <f ca="1" t="shared" si="27"/>
        <v>238</v>
      </c>
      <c r="Q842" s="26" t="e">
        <f>VLOOKUP(B842,辅助信息!E:M,9,FALSE)</f>
        <v>#N/A</v>
      </c>
      <c r="R842" s="26"/>
    </row>
    <row r="843" hidden="1" spans="2:18">
      <c r="B843" s="40" t="s">
        <v>84</v>
      </c>
      <c r="C843" s="70">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6"/>
      <c r="M843" s="91">
        <v>45722</v>
      </c>
      <c r="O843" s="62">
        <f ca="1" t="shared" si="26"/>
        <v>0</v>
      </c>
      <c r="P843" s="62">
        <f ca="1" t="shared" si="27"/>
        <v>238</v>
      </c>
      <c r="Q843" s="26" t="e">
        <f>VLOOKUP(B843,辅助信息!E:M,9,FALSE)</f>
        <v>#N/A</v>
      </c>
      <c r="R843" s="26"/>
    </row>
    <row r="844" hidden="1" spans="2:18">
      <c r="B844" s="40" t="s">
        <v>113</v>
      </c>
      <c r="C844" s="70">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7" t="str">
        <f>VLOOKUP(B844,辅助信息!E:J,6,FALSE)</f>
        <v>送货单：送货单位：南充思临新材料科技有限公司,收货单位：五冶集团川北(南充)建设有限公司,项目名称：南充医学科学产业园,送货车型13米,装货前联系收货人核实到场规格</v>
      </c>
      <c r="M844" s="91">
        <v>45722</v>
      </c>
      <c r="O844" s="62">
        <f ca="1" t="shared" si="26"/>
        <v>0</v>
      </c>
      <c r="P844" s="62">
        <f ca="1" t="shared" si="27"/>
        <v>238</v>
      </c>
      <c r="Q844" s="26" t="str">
        <f>VLOOKUP(B844,辅助信息!E:M,9,FALSE)</f>
        <v>ZTWM-CDGS-XS-2024-0248-五冶钢构-南充市医学院项目</v>
      </c>
      <c r="R844" s="26"/>
    </row>
    <row r="845" hidden="1" spans="2:18">
      <c r="B845" s="40" t="s">
        <v>113</v>
      </c>
      <c r="C845" s="70">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8"/>
      <c r="M845" s="91">
        <v>45722</v>
      </c>
      <c r="O845" s="62">
        <f ca="1" t="shared" si="26"/>
        <v>0</v>
      </c>
      <c r="P845" s="62">
        <f ca="1" t="shared" si="27"/>
        <v>238</v>
      </c>
      <c r="Q845" s="26" t="str">
        <f>VLOOKUP(B845,辅助信息!E:M,9,FALSE)</f>
        <v>ZTWM-CDGS-XS-2024-0248-五冶钢构-南充市医学院项目</v>
      </c>
      <c r="R845" s="26"/>
    </row>
    <row r="846" hidden="1" spans="2:18">
      <c r="B846" s="40" t="s">
        <v>113</v>
      </c>
      <c r="C846" s="70">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6"/>
      <c r="M846" s="91">
        <v>45722</v>
      </c>
      <c r="O846" s="62">
        <f ca="1" t="shared" si="26"/>
        <v>0</v>
      </c>
      <c r="P846" s="62">
        <f ca="1" t="shared" si="27"/>
        <v>238</v>
      </c>
      <c r="Q846" s="26" t="str">
        <f>VLOOKUP(B846,辅助信息!E:M,9,FALSE)</f>
        <v>ZTWM-CDGS-XS-2024-0248-五冶钢构-南充市医学院项目</v>
      </c>
      <c r="R846" s="26"/>
    </row>
    <row r="847" hidden="1" spans="2:18">
      <c r="B847" s="40" t="s">
        <v>39</v>
      </c>
      <c r="C847" s="70">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7" t="str">
        <f>VLOOKUP(B847,辅助信息!E:J,6,FALSE)</f>
        <v>提前联系到场规格,一天到场车辆不低于2车</v>
      </c>
      <c r="M847" s="91">
        <v>45724</v>
      </c>
      <c r="P847" s="62">
        <f ca="1" t="shared" si="27"/>
        <v>236</v>
      </c>
      <c r="Q847" s="26" t="str">
        <f>VLOOKUP(B847,辅助信息!E:M,9,FALSE)</f>
        <v>ZTWM-CDGS-XS-2024-0205-五冶钢构-达州市通川区西外复兴镇及临近片区建设项目</v>
      </c>
      <c r="R847" s="26"/>
    </row>
    <row r="848" hidden="1" spans="2:18">
      <c r="B848" s="40" t="s">
        <v>39</v>
      </c>
      <c r="C848" s="70">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8"/>
      <c r="M848" s="91">
        <v>45724</v>
      </c>
      <c r="P848" s="62">
        <f ca="1" t="shared" si="27"/>
        <v>236</v>
      </c>
      <c r="Q848" s="26" t="str">
        <f>VLOOKUP(B848,辅助信息!E:M,9,FALSE)</f>
        <v>ZTWM-CDGS-XS-2024-0205-五冶钢构-达州市通川区西外复兴镇及临近片区建设项目</v>
      </c>
      <c r="R848" s="26"/>
    </row>
    <row r="849" hidden="1" spans="2:18">
      <c r="B849" s="40" t="s">
        <v>39</v>
      </c>
      <c r="C849" s="70">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8"/>
      <c r="M849" s="91">
        <v>45724</v>
      </c>
      <c r="P849" s="62">
        <f ca="1" t="shared" si="27"/>
        <v>236</v>
      </c>
      <c r="Q849" s="26" t="str">
        <f>VLOOKUP(B849,辅助信息!E:M,9,FALSE)</f>
        <v>ZTWM-CDGS-XS-2024-0205-五冶钢构-达州市通川区西外复兴镇及临近片区建设项目</v>
      </c>
      <c r="R849" s="26"/>
    </row>
    <row r="850" hidden="1" spans="2:18">
      <c r="B850" s="40" t="s">
        <v>39</v>
      </c>
      <c r="C850" s="70">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6"/>
      <c r="M850" s="91">
        <v>45724</v>
      </c>
      <c r="P850" s="62">
        <f ca="1" t="shared" si="27"/>
        <v>236</v>
      </c>
      <c r="Q850" s="26" t="str">
        <f>VLOOKUP(B850,辅助信息!E:M,9,FALSE)</f>
        <v>ZTWM-CDGS-XS-2024-0205-五冶钢构-达州市通川区西外复兴镇及临近片区建设项目</v>
      </c>
      <c r="R850" s="26"/>
    </row>
    <row r="851" hidden="1" spans="2:18">
      <c r="B851" s="40" t="s">
        <v>106</v>
      </c>
      <c r="C851" s="70">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7" t="str">
        <f>VLOOKUP(B851,辅助信息!E:J,6,FALSE)</f>
        <v>提前联系到场规格</v>
      </c>
      <c r="M851" s="91">
        <v>45723</v>
      </c>
      <c r="P851" s="62">
        <f ca="1" t="shared" si="27"/>
        <v>237</v>
      </c>
      <c r="Q851" s="26" t="str">
        <f>VLOOKUP(B851,辅助信息!E:M,9,FALSE)</f>
        <v>ZTWM-CDGS-XS-2024-0169-中冶西部钢构-宜宾市南溪区幸福路东路,高县月江镇建设项目</v>
      </c>
      <c r="R851" s="26"/>
    </row>
    <row r="852" hidden="1" spans="2:18">
      <c r="B852" s="40" t="s">
        <v>106</v>
      </c>
      <c r="C852" s="70">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8"/>
      <c r="M852" s="91">
        <v>45723</v>
      </c>
      <c r="P852" s="62">
        <f ca="1" t="shared" si="27"/>
        <v>237</v>
      </c>
      <c r="Q852" s="26" t="str">
        <f>VLOOKUP(B852,辅助信息!E:M,9,FALSE)</f>
        <v>ZTWM-CDGS-XS-2024-0169-中冶西部钢构-宜宾市南溪区幸福路东路,高县月江镇建设项目</v>
      </c>
      <c r="R852" s="26"/>
    </row>
    <row r="853" hidden="1" spans="2:18">
      <c r="B853" s="40" t="s">
        <v>106</v>
      </c>
      <c r="C853" s="70">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8"/>
      <c r="M853" s="91">
        <v>45723</v>
      </c>
      <c r="P853" s="62">
        <f ca="1" t="shared" si="27"/>
        <v>237</v>
      </c>
      <c r="Q853" s="26" t="str">
        <f>VLOOKUP(B853,辅助信息!E:M,9,FALSE)</f>
        <v>ZTWM-CDGS-XS-2024-0169-中冶西部钢构-宜宾市南溪区幸福路东路,高县月江镇建设项目</v>
      </c>
      <c r="R853" s="26"/>
    </row>
    <row r="854" hidden="1" spans="2:18">
      <c r="B854" s="40" t="s">
        <v>106</v>
      </c>
      <c r="C854" s="70">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8"/>
      <c r="M854" s="91">
        <v>45723</v>
      </c>
      <c r="P854" s="62">
        <f ca="1" t="shared" si="27"/>
        <v>237</v>
      </c>
      <c r="Q854" s="26" t="str">
        <f>VLOOKUP(B854,辅助信息!E:M,9,FALSE)</f>
        <v>ZTWM-CDGS-XS-2024-0169-中冶西部钢构-宜宾市南溪区幸福路东路,高县月江镇建设项目</v>
      </c>
      <c r="R854" s="26"/>
    </row>
    <row r="855" hidden="1" spans="2:18">
      <c r="B855" s="40" t="s">
        <v>106</v>
      </c>
      <c r="C855" s="70">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6"/>
      <c r="M855" s="91">
        <v>45723</v>
      </c>
      <c r="P855" s="62">
        <f ca="1" t="shared" si="27"/>
        <v>237</v>
      </c>
      <c r="Q855" s="26" t="str">
        <f>VLOOKUP(B855,辅助信息!E:M,9,FALSE)</f>
        <v>ZTWM-CDGS-XS-2024-0169-中冶西部钢构-宜宾市南溪区幸福路东路,高县月江镇建设项目</v>
      </c>
      <c r="R855" s="26"/>
    </row>
    <row r="856" ht="22.5" hidden="1" customHeight="1" spans="2:18">
      <c r="B856" s="40" t="s">
        <v>81</v>
      </c>
      <c r="C856" s="70">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7" t="str">
        <f>VLOOKUP(B856,辅助信息!E:J,6,FALSE)</f>
        <v>现场禁止使用氢能源挂车！优先威钢发货,我方卸车,新老国标钢厂不加价可直发，因陕钢多次出现磅差，项目拒绝使用</v>
      </c>
      <c r="M856" s="91">
        <v>45723</v>
      </c>
      <c r="O856" s="62">
        <f ca="1">IF(OR(M856="",N856&lt;&gt;""),"",MAX(M856-TODAY(),0))</f>
        <v>0</v>
      </c>
      <c r="P856" s="62">
        <f ca="1" t="shared" si="27"/>
        <v>237</v>
      </c>
      <c r="Q856" s="26" t="str">
        <f>VLOOKUP(B856,辅助信息!E:M,9,FALSE)</f>
        <v>ZTWM-CDGS-XS-2024-0030-华西集采-简州大道</v>
      </c>
      <c r="R856" s="26"/>
    </row>
    <row r="857" hidden="1" spans="1:18">
      <c r="A857" s="71" t="s">
        <v>114</v>
      </c>
      <c r="B857" s="40" t="s">
        <v>56</v>
      </c>
      <c r="C857" s="70">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7" t="str">
        <f>VLOOKUP(B857,辅助信息!E:J,6,FALSE)</f>
        <v>控制炉批号！多了现场不收！,优先安排达钢,提前联系到场规格及数量</v>
      </c>
      <c r="M857" s="91">
        <v>45716</v>
      </c>
      <c r="O857" s="62">
        <f ca="1">IF(OR(M857="",N857&lt;&gt;""),"",MAX(M857-TODAY(),0))</f>
        <v>0</v>
      </c>
      <c r="P857" s="62">
        <f ca="1" t="shared" si="27"/>
        <v>244</v>
      </c>
      <c r="Q857" s="26" t="str">
        <f>VLOOKUP(B857,辅助信息!E:M,9,FALSE)</f>
        <v>ZTWM-CDGS-XS-2024-0134-商投建工达州中医药科技成果示范园项目</v>
      </c>
      <c r="R857" s="26"/>
    </row>
    <row r="858" hidden="1" spans="2:18">
      <c r="B858" s="40" t="s">
        <v>56</v>
      </c>
      <c r="C858" s="70">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6"/>
      <c r="M858" s="91">
        <v>45716</v>
      </c>
      <c r="O858" s="62">
        <f ca="1">IF(OR(M858="",N858&lt;&gt;""),"",MAX(M858-TODAY(),0))</f>
        <v>0</v>
      </c>
      <c r="P858" s="62">
        <f ca="1" t="shared" si="27"/>
        <v>244</v>
      </c>
      <c r="Q858" s="26" t="str">
        <f>VLOOKUP(B858,辅助信息!E:M,9,FALSE)</f>
        <v>ZTWM-CDGS-XS-2024-0134-商投建工达州中医药科技成果示范园项目</v>
      </c>
      <c r="R858" s="26"/>
    </row>
    <row r="859" hidden="1" spans="2:18">
      <c r="B859" s="40" t="s">
        <v>56</v>
      </c>
      <c r="C859" s="70">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89"/>
      <c r="M859" s="91"/>
      <c r="Q859" s="26"/>
      <c r="R859" s="26"/>
    </row>
    <row r="860" hidden="1" spans="2:18">
      <c r="B860" s="40" t="s">
        <v>56</v>
      </c>
      <c r="C860" s="70">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89"/>
      <c r="M860" s="91"/>
      <c r="Q860" s="26"/>
      <c r="R860" s="26"/>
    </row>
    <row r="861" hidden="1" spans="2:18">
      <c r="B861" s="40" t="s">
        <v>68</v>
      </c>
      <c r="C861" s="70">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89" t="str">
        <f>VLOOKUP(B864,辅助信息!E:J,6,FALSE)</f>
        <v>控制炉批号！多了现场不收！,优先安排达钢,提前联系到场规格及数量</v>
      </c>
      <c r="M861" s="91"/>
      <c r="Q861" s="26"/>
      <c r="R861" s="26"/>
    </row>
    <row r="862" hidden="1" spans="2:18">
      <c r="B862" s="40" t="s">
        <v>68</v>
      </c>
      <c r="C862" s="70">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8"/>
      <c r="M862" s="91"/>
      <c r="Q862" s="26"/>
      <c r="R862" s="26"/>
    </row>
    <row r="863" hidden="1" spans="2:18">
      <c r="B863" s="40" t="s">
        <v>68</v>
      </c>
      <c r="C863" s="70">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8"/>
      <c r="M863" s="91"/>
      <c r="Q863" s="26"/>
      <c r="R863" s="26"/>
    </row>
    <row r="864" hidden="1" spans="2:18">
      <c r="B864" s="40" t="s">
        <v>68</v>
      </c>
      <c r="C864" s="70">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8"/>
      <c r="M864" s="91">
        <v>45720</v>
      </c>
      <c r="O864" s="62">
        <f ca="1">IF(OR(M864="",N864&lt;&gt;""),"",MAX(M864-TODAY(),0))</f>
        <v>0</v>
      </c>
      <c r="P864" s="62">
        <f ca="1">IF(M864="","",IF(N864&lt;&gt;"",MAX(N864-M864,0),IF(TODAY()&gt;M864,TODAY()-M864,0)))</f>
        <v>240</v>
      </c>
      <c r="Q864" s="26" t="str">
        <f>VLOOKUP(B864,辅助信息!E:M,9,FALSE)</f>
        <v>ZTWM-CDGS-XS-2024-0134-商投建工达州中医药科技成果示范园项目</v>
      </c>
      <c r="R864" s="26"/>
    </row>
    <row r="865" hidden="1" spans="2:18">
      <c r="B865" s="40" t="s">
        <v>68</v>
      </c>
      <c r="C865" s="70">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8"/>
      <c r="M865" s="91"/>
      <c r="Q865" s="26"/>
      <c r="R865" s="26"/>
    </row>
    <row r="866" hidden="1" spans="2:18">
      <c r="B866" s="40" t="s">
        <v>64</v>
      </c>
      <c r="C866" s="70">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7" t="e">
        <f>VLOOKUP(B866,辅助信息!E:J,6,FALSE)</f>
        <v>#N/A</v>
      </c>
      <c r="M866" s="91">
        <v>45726</v>
      </c>
      <c r="O866" s="62">
        <f ca="1" t="shared" ref="O866:O929" si="28">IF(OR(M866="",N866&lt;&gt;""),"",MAX(M866-TODAY(),0))</f>
        <v>0</v>
      </c>
      <c r="P866" s="62">
        <f ca="1" t="shared" ref="P866:P929" si="29">IF(M866="","",IF(N866&lt;&gt;"",MAX(N866-M866,0),IF(TODAY()&gt;M866,TODAY()-M866,0)))</f>
        <v>234</v>
      </c>
      <c r="Q866" s="26" t="e">
        <f>VLOOKUP(B866,辅助信息!E:M,9,FALSE)</f>
        <v>#N/A</v>
      </c>
      <c r="R866" s="26"/>
    </row>
    <row r="867" hidden="1" spans="2:18">
      <c r="B867" s="40" t="s">
        <v>64</v>
      </c>
      <c r="C867" s="70">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6"/>
      <c r="M867" s="91">
        <v>45726</v>
      </c>
      <c r="O867" s="62">
        <f ca="1" t="shared" si="28"/>
        <v>0</v>
      </c>
      <c r="P867" s="62">
        <f ca="1" t="shared" si="29"/>
        <v>234</v>
      </c>
      <c r="Q867" s="26"/>
      <c r="R867" s="26"/>
    </row>
    <row r="868" hidden="1" spans="1:18">
      <c r="A868" s="82" t="s">
        <v>110</v>
      </c>
      <c r="B868" s="40" t="s">
        <v>84</v>
      </c>
      <c r="C868" s="70">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7" t="e">
        <f>VLOOKUP(B868,辅助信息!E:J,6,FALSE)</f>
        <v>#N/A</v>
      </c>
      <c r="M868" s="91">
        <v>45722</v>
      </c>
      <c r="O868" s="62">
        <f ca="1" t="shared" si="28"/>
        <v>0</v>
      </c>
      <c r="P868" s="62">
        <f ca="1" t="shared" si="29"/>
        <v>238</v>
      </c>
      <c r="Q868" s="26" t="e">
        <f>VLOOKUP(B868,辅助信息!E:M,9,FALSE)</f>
        <v>#N/A</v>
      </c>
      <c r="R868" s="26"/>
    </row>
    <row r="869" hidden="1" spans="1:18">
      <c r="A869" s="78"/>
      <c r="B869" s="40" t="s">
        <v>84</v>
      </c>
      <c r="C869" s="70">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8"/>
      <c r="M869" s="91">
        <v>45722</v>
      </c>
      <c r="O869" s="62">
        <f ca="1" t="shared" si="28"/>
        <v>0</v>
      </c>
      <c r="P869" s="62">
        <f ca="1" t="shared" si="29"/>
        <v>238</v>
      </c>
      <c r="Q869" s="26" t="e">
        <f>VLOOKUP(B869,辅助信息!E:M,9,FALSE)</f>
        <v>#N/A</v>
      </c>
      <c r="R869" s="26"/>
    </row>
    <row r="870" hidden="1" spans="1:18">
      <c r="A870" s="78"/>
      <c r="B870" s="40" t="s">
        <v>84</v>
      </c>
      <c r="C870" s="70">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8"/>
      <c r="M870" s="91">
        <v>45722</v>
      </c>
      <c r="O870" s="62">
        <f ca="1" t="shared" si="28"/>
        <v>0</v>
      </c>
      <c r="P870" s="62">
        <f ca="1" t="shared" si="29"/>
        <v>238</v>
      </c>
      <c r="Q870" s="26" t="e">
        <f>VLOOKUP(B870,辅助信息!E:M,9,FALSE)</f>
        <v>#N/A</v>
      </c>
      <c r="R870" s="26"/>
    </row>
    <row r="871" hidden="1" spans="1:18">
      <c r="A871" s="78"/>
      <c r="B871" s="40" t="s">
        <v>84</v>
      </c>
      <c r="C871" s="70">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8"/>
      <c r="M871" s="91">
        <v>45722</v>
      </c>
      <c r="O871" s="62">
        <f ca="1" t="shared" si="28"/>
        <v>0</v>
      </c>
      <c r="P871" s="62">
        <f ca="1" t="shared" si="29"/>
        <v>238</v>
      </c>
      <c r="Q871" s="26" t="e">
        <f>VLOOKUP(B871,辅助信息!E:M,9,FALSE)</f>
        <v>#N/A</v>
      </c>
      <c r="R871" s="26"/>
    </row>
    <row r="872" hidden="1" spans="1:18">
      <c r="A872" s="76"/>
      <c r="B872" s="40" t="s">
        <v>84</v>
      </c>
      <c r="C872" s="70">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6"/>
      <c r="M872" s="91">
        <v>45722</v>
      </c>
      <c r="O872" s="62">
        <f ca="1" t="shared" si="28"/>
        <v>0</v>
      </c>
      <c r="P872" s="62">
        <f ca="1" t="shared" si="29"/>
        <v>238</v>
      </c>
      <c r="Q872" s="26" t="e">
        <f>VLOOKUP(B872,辅助信息!E:M,9,FALSE)</f>
        <v>#N/A</v>
      </c>
      <c r="R872" s="26"/>
    </row>
    <row r="873" hidden="1" spans="2:18">
      <c r="B873" s="40" t="s">
        <v>113</v>
      </c>
      <c r="C873" s="70">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7" t="str">
        <f>VLOOKUP(B873,辅助信息!E:J,6,FALSE)</f>
        <v>送货单：送货单位：南充思临新材料科技有限公司,收货单位：五冶集团川北(南充)建设有限公司,项目名称：南充医学科学产业园,送货车型13米,装货前联系收货人核实到场规格</v>
      </c>
      <c r="M873" s="91">
        <v>45722</v>
      </c>
      <c r="O873" s="62">
        <f ca="1" t="shared" si="28"/>
        <v>0</v>
      </c>
      <c r="P873" s="62">
        <f ca="1" t="shared" si="29"/>
        <v>238</v>
      </c>
      <c r="Q873" s="26" t="str">
        <f>VLOOKUP(B873,辅助信息!E:M,9,FALSE)</f>
        <v>ZTWM-CDGS-XS-2024-0248-五冶钢构-南充市医学院项目</v>
      </c>
      <c r="R873" s="26"/>
    </row>
    <row r="874" hidden="1" spans="2:18">
      <c r="B874" s="40" t="s">
        <v>113</v>
      </c>
      <c r="C874" s="70">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8"/>
      <c r="M874" s="91">
        <v>45722</v>
      </c>
      <c r="O874" s="62">
        <f ca="1" t="shared" si="28"/>
        <v>0</v>
      </c>
      <c r="P874" s="62">
        <f ca="1" t="shared" si="29"/>
        <v>238</v>
      </c>
      <c r="Q874" s="26" t="str">
        <f>VLOOKUP(B874,辅助信息!E:M,9,FALSE)</f>
        <v>ZTWM-CDGS-XS-2024-0248-五冶钢构-南充市医学院项目</v>
      </c>
      <c r="R874" s="26"/>
    </row>
    <row r="875" hidden="1" spans="2:18">
      <c r="B875" s="40" t="s">
        <v>113</v>
      </c>
      <c r="C875" s="70">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6"/>
      <c r="M875" s="91">
        <v>45722</v>
      </c>
      <c r="O875" s="62">
        <f ca="1" t="shared" si="28"/>
        <v>0</v>
      </c>
      <c r="P875" s="62">
        <f ca="1" t="shared" si="29"/>
        <v>238</v>
      </c>
      <c r="Q875" s="26" t="str">
        <f>VLOOKUP(B875,辅助信息!E:M,9,FALSE)</f>
        <v>ZTWM-CDGS-XS-2024-0248-五冶钢构-南充市医学院项目</v>
      </c>
      <c r="R875" s="26"/>
    </row>
    <row r="876" hidden="1" spans="2:18">
      <c r="B876" s="40" t="s">
        <v>39</v>
      </c>
      <c r="C876" s="70">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7" t="str">
        <f>VLOOKUP(B876,辅助信息!E:J,6,FALSE)</f>
        <v>提前联系到场规格,一天到场车辆不低于2车</v>
      </c>
      <c r="M876" s="91">
        <v>45724</v>
      </c>
      <c r="O876" s="62">
        <f ca="1" t="shared" si="28"/>
        <v>0</v>
      </c>
      <c r="P876" s="62">
        <f ca="1" t="shared" si="29"/>
        <v>236</v>
      </c>
      <c r="Q876" s="26" t="str">
        <f>VLOOKUP(B876,辅助信息!E:M,9,FALSE)</f>
        <v>ZTWM-CDGS-XS-2024-0205-五冶钢构-达州市通川区西外复兴镇及临近片区建设项目</v>
      </c>
      <c r="R876" s="26"/>
    </row>
    <row r="877" hidden="1" spans="2:18">
      <c r="B877" s="40" t="s">
        <v>39</v>
      </c>
      <c r="C877" s="70">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8"/>
      <c r="M877" s="91">
        <v>45724</v>
      </c>
      <c r="O877" s="62">
        <f ca="1" t="shared" si="28"/>
        <v>0</v>
      </c>
      <c r="P877" s="62">
        <f ca="1" t="shared" si="29"/>
        <v>236</v>
      </c>
      <c r="Q877" s="26" t="str">
        <f>VLOOKUP(B877,辅助信息!E:M,9,FALSE)</f>
        <v>ZTWM-CDGS-XS-2024-0205-五冶钢构-达州市通川区西外复兴镇及临近片区建设项目</v>
      </c>
      <c r="R877" s="26"/>
    </row>
    <row r="878" hidden="1" spans="2:18">
      <c r="B878" s="40" t="s">
        <v>39</v>
      </c>
      <c r="C878" s="70">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8"/>
      <c r="M878" s="91">
        <v>45724</v>
      </c>
      <c r="O878" s="62">
        <f ca="1" t="shared" si="28"/>
        <v>0</v>
      </c>
      <c r="P878" s="62">
        <f ca="1" t="shared" si="29"/>
        <v>236</v>
      </c>
      <c r="Q878" s="26" t="str">
        <f>VLOOKUP(B878,辅助信息!E:M,9,FALSE)</f>
        <v>ZTWM-CDGS-XS-2024-0205-五冶钢构-达州市通川区西外复兴镇及临近片区建设项目</v>
      </c>
      <c r="R878" s="26"/>
    </row>
    <row r="879" hidden="1" spans="2:18">
      <c r="B879" s="40" t="s">
        <v>39</v>
      </c>
      <c r="C879" s="70">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6"/>
      <c r="M879" s="91">
        <v>45724</v>
      </c>
      <c r="O879" s="62">
        <f ca="1" t="shared" si="28"/>
        <v>0</v>
      </c>
      <c r="P879" s="62">
        <f ca="1" t="shared" si="29"/>
        <v>236</v>
      </c>
      <c r="Q879" s="26" t="str">
        <f>VLOOKUP(B879,辅助信息!E:M,9,FALSE)</f>
        <v>ZTWM-CDGS-XS-2024-0205-五冶钢构-达州市通川区西外复兴镇及临近片区建设项目</v>
      </c>
      <c r="R879" s="26"/>
    </row>
    <row r="880" ht="56.25" hidden="1" customHeight="1" spans="2:18">
      <c r="B880" s="40" t="s">
        <v>29</v>
      </c>
      <c r="C880" s="70">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7" t="e">
        <f>VLOOKUP(B880,辅助信息!E:J,6,FALSE)</f>
        <v>#N/A</v>
      </c>
      <c r="M880" s="91">
        <v>45726</v>
      </c>
      <c r="O880" s="62">
        <f ca="1" t="shared" si="28"/>
        <v>0</v>
      </c>
      <c r="P880" s="62">
        <f ca="1" t="shared" si="29"/>
        <v>234</v>
      </c>
      <c r="Q880" s="26" t="e">
        <f>VLOOKUP(B880,辅助信息!E:M,9,FALSE)</f>
        <v>#N/A</v>
      </c>
      <c r="R880" s="26"/>
    </row>
    <row r="881" hidden="1" spans="2:18">
      <c r="B881" s="40" t="s">
        <v>54</v>
      </c>
      <c r="C881" s="70">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7" t="e">
        <f>VLOOKUP(B881,辅助信息!E:J,6,FALSE)</f>
        <v>#N/A</v>
      </c>
      <c r="M881" s="91">
        <v>45728</v>
      </c>
      <c r="O881" s="62">
        <f ca="1" t="shared" si="28"/>
        <v>0</v>
      </c>
      <c r="P881" s="62">
        <f ca="1" t="shared" si="29"/>
        <v>232</v>
      </c>
      <c r="Q881" s="26" t="e">
        <f>VLOOKUP(B881,辅助信息!E:M,9,FALSE)</f>
        <v>#N/A</v>
      </c>
      <c r="R881" s="26"/>
    </row>
    <row r="882" hidden="1" spans="2:18">
      <c r="B882" s="40" t="s">
        <v>54</v>
      </c>
      <c r="C882" s="70">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6"/>
      <c r="M882" s="91">
        <v>45728</v>
      </c>
      <c r="O882" s="62">
        <f ca="1" t="shared" si="28"/>
        <v>0</v>
      </c>
      <c r="P882" s="62">
        <f ca="1" t="shared" si="29"/>
        <v>232</v>
      </c>
      <c r="Q882" s="26" t="e">
        <f>VLOOKUP(B882,辅助信息!E:M,9,FALSE)</f>
        <v>#N/A</v>
      </c>
      <c r="R882" s="26"/>
    </row>
    <row r="883" hidden="1" spans="2:18">
      <c r="B883" s="40" t="s">
        <v>47</v>
      </c>
      <c r="C883" s="70">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7" t="str">
        <f>VLOOKUP(B884,辅助信息!E:J,6,FALSE)</f>
        <v>控制炉批号！多了现场不收！,优先安排达钢,提前联系到场规格及数量</v>
      </c>
      <c r="M883" s="91">
        <v>45726</v>
      </c>
      <c r="O883" s="62">
        <f ca="1" t="shared" si="28"/>
        <v>0</v>
      </c>
      <c r="P883" s="62">
        <f ca="1" t="shared" si="29"/>
        <v>234</v>
      </c>
      <c r="Q883" s="26" t="str">
        <f>VLOOKUP(B883,辅助信息!E:M,9,FALSE)</f>
        <v>ZTWM-CDGS-XS-2024-0134-商投建工达州中医药科技成果示范园项目</v>
      </c>
      <c r="R883" s="26"/>
    </row>
    <row r="884" hidden="1" spans="2:18">
      <c r="B884" s="40" t="s">
        <v>47</v>
      </c>
      <c r="C884" s="70">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8"/>
      <c r="M884" s="91">
        <v>45726</v>
      </c>
      <c r="O884" s="62">
        <f ca="1" t="shared" si="28"/>
        <v>0</v>
      </c>
      <c r="P884" s="62">
        <f ca="1" t="shared" si="29"/>
        <v>234</v>
      </c>
      <c r="Q884" s="26" t="str">
        <f>VLOOKUP(B884,辅助信息!E:M,9,FALSE)</f>
        <v>ZTWM-CDGS-XS-2024-0134-商投建工达州中医药科技成果示范园项目</v>
      </c>
      <c r="R884" s="26"/>
    </row>
    <row r="885" hidden="1" spans="2:18">
      <c r="B885" s="40" t="s">
        <v>47</v>
      </c>
      <c r="C885" s="70">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8"/>
      <c r="M885" s="91">
        <v>45726</v>
      </c>
      <c r="O885" s="62">
        <f ca="1" t="shared" si="28"/>
        <v>0</v>
      </c>
      <c r="P885" s="62">
        <f ca="1" t="shared" si="29"/>
        <v>234</v>
      </c>
      <c r="Q885" s="26" t="str">
        <f>VLOOKUP(B885,辅助信息!E:M,9,FALSE)</f>
        <v>ZTWM-CDGS-XS-2024-0134-商投建工达州中医药科技成果示范园项目</v>
      </c>
      <c r="R885" s="26"/>
    </row>
    <row r="886" hidden="1" spans="2:18">
      <c r="B886" s="40" t="s">
        <v>47</v>
      </c>
      <c r="C886" s="70">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6"/>
      <c r="M886" s="91">
        <v>45726</v>
      </c>
      <c r="O886" s="62">
        <f ca="1" t="shared" si="28"/>
        <v>0</v>
      </c>
      <c r="P886" s="62">
        <f ca="1" t="shared" si="29"/>
        <v>234</v>
      </c>
      <c r="Q886" s="26" t="str">
        <f>VLOOKUP(B886,辅助信息!E:M,9,FALSE)</f>
        <v>ZTWM-CDGS-XS-2024-0134-商投建工达州中医药科技成果示范园项目</v>
      </c>
      <c r="R886" s="26"/>
    </row>
    <row r="887" hidden="1" spans="2:18">
      <c r="B887" s="40" t="s">
        <v>20</v>
      </c>
      <c r="C887" s="70">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7" t="str">
        <f>VLOOKUP(B888,辅助信息!E:J,6,FALSE)</f>
        <v>送货单：送货单位：南充思临新材料科技有限公司,收货单位：五冶集团川北(南充)建设有限公司,项目名称：南充医学科学产业园,送货车型13米,装货前联系收货人核实到场规格</v>
      </c>
      <c r="M887" s="91">
        <v>45727</v>
      </c>
      <c r="O887" s="62">
        <f ca="1" t="shared" si="28"/>
        <v>0</v>
      </c>
      <c r="P887" s="62">
        <f ca="1" t="shared" si="29"/>
        <v>233</v>
      </c>
      <c r="Q887" s="26" t="str">
        <f>VLOOKUP(B887,辅助信息!E:M,9,FALSE)</f>
        <v>ZTWM-CDGS-XS-2024-0248-五冶钢构-南充市医学院项目</v>
      </c>
      <c r="R887" s="26"/>
    </row>
    <row r="888" hidden="1" spans="2:18">
      <c r="B888" s="40" t="s">
        <v>20</v>
      </c>
      <c r="C888" s="70">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8"/>
      <c r="M888" s="91">
        <v>45727</v>
      </c>
      <c r="O888" s="62">
        <f ca="1" t="shared" si="28"/>
        <v>0</v>
      </c>
      <c r="P888" s="62">
        <f ca="1" t="shared" si="29"/>
        <v>233</v>
      </c>
      <c r="Q888" s="26" t="str">
        <f>VLOOKUP(B888,辅助信息!E:M,9,FALSE)</f>
        <v>ZTWM-CDGS-XS-2024-0248-五冶钢构-南充市医学院项目</v>
      </c>
      <c r="R888" s="26"/>
    </row>
    <row r="889" hidden="1" spans="2:18">
      <c r="B889" s="40" t="s">
        <v>20</v>
      </c>
      <c r="C889" s="70">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8"/>
      <c r="M889" s="91">
        <v>45727</v>
      </c>
      <c r="O889" s="62">
        <f ca="1" t="shared" si="28"/>
        <v>0</v>
      </c>
      <c r="P889" s="62">
        <f ca="1" t="shared" si="29"/>
        <v>233</v>
      </c>
      <c r="Q889" s="26" t="str">
        <f>VLOOKUP(B889,辅助信息!E:M,9,FALSE)</f>
        <v>ZTWM-CDGS-XS-2024-0248-五冶钢构-南充市医学院项目</v>
      </c>
      <c r="R889" s="26"/>
    </row>
    <row r="890" hidden="1" spans="2:18">
      <c r="B890" s="40" t="s">
        <v>20</v>
      </c>
      <c r="C890" s="70">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8"/>
      <c r="M890" s="91">
        <v>45727</v>
      </c>
      <c r="O890" s="62">
        <f ca="1" t="shared" si="28"/>
        <v>0</v>
      </c>
      <c r="P890" s="62">
        <f ca="1" t="shared" si="29"/>
        <v>233</v>
      </c>
      <c r="Q890" s="26" t="str">
        <f>VLOOKUP(B890,辅助信息!E:M,9,FALSE)</f>
        <v>ZTWM-CDGS-XS-2024-0248-五冶钢构-南充市医学院项目</v>
      </c>
      <c r="R890" s="26"/>
    </row>
    <row r="891" hidden="1" spans="2:18">
      <c r="B891" s="40" t="s">
        <v>20</v>
      </c>
      <c r="C891" s="70">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8"/>
      <c r="M891" s="91">
        <v>45727</v>
      </c>
      <c r="O891" s="62">
        <f ca="1" t="shared" si="28"/>
        <v>0</v>
      </c>
      <c r="P891" s="62">
        <f ca="1" t="shared" si="29"/>
        <v>233</v>
      </c>
      <c r="Q891" s="26" t="str">
        <f>VLOOKUP(B891,辅助信息!E:M,9,FALSE)</f>
        <v>ZTWM-CDGS-XS-2024-0248-五冶钢构-南充市医学院项目</v>
      </c>
      <c r="R891" s="26"/>
    </row>
    <row r="892" hidden="1" spans="2:18">
      <c r="B892" s="40" t="s">
        <v>117</v>
      </c>
      <c r="C892" s="70">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8"/>
      <c r="M892" s="91">
        <v>45727</v>
      </c>
      <c r="O892" s="62">
        <f ca="1" t="shared" si="28"/>
        <v>0</v>
      </c>
      <c r="P892" s="62">
        <f ca="1" t="shared" si="29"/>
        <v>233</v>
      </c>
      <c r="Q892" s="26" t="str">
        <f>VLOOKUP(B892,辅助信息!E:M,9,FALSE)</f>
        <v>ZTWM-CDGS-XS-2024-0248-五冶钢构-南充市医学院项目</v>
      </c>
      <c r="R892" s="26"/>
    </row>
    <row r="893" hidden="1" spans="2:18">
      <c r="B893" s="40" t="s">
        <v>117</v>
      </c>
      <c r="C893" s="70">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6"/>
      <c r="M893" s="91">
        <v>45727</v>
      </c>
      <c r="O893" s="62">
        <f ca="1" t="shared" si="28"/>
        <v>0</v>
      </c>
      <c r="P893" s="62">
        <f ca="1" t="shared" si="29"/>
        <v>233</v>
      </c>
      <c r="Q893" s="26" t="str">
        <f>VLOOKUP(B893,辅助信息!E:M,9,FALSE)</f>
        <v>ZTWM-CDGS-XS-2024-0248-五冶钢构-南充市医学院项目</v>
      </c>
      <c r="R893" s="26"/>
    </row>
    <row r="894" hidden="1" spans="2:18">
      <c r="B894" s="40" t="s">
        <v>72</v>
      </c>
      <c r="C894" s="70">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7" t="str">
        <f>VLOOKUP(B895,辅助信息!E:J,6,FALSE)</f>
        <v>送货单：送货单位：南充思临新材料科技有限公司,收货单位：五冶集团川北(南充)建设有限公司,项目名称：南充医学科学产业园,送货车型13米,装货前联系收货人核实到场规格</v>
      </c>
      <c r="M894" s="91">
        <v>45727</v>
      </c>
      <c r="O894" s="62">
        <f ca="1" t="shared" si="28"/>
        <v>0</v>
      </c>
      <c r="P894" s="62">
        <f ca="1" t="shared" si="29"/>
        <v>233</v>
      </c>
      <c r="Q894" s="26" t="str">
        <f>VLOOKUP(B894,辅助信息!E:M,9,FALSE)</f>
        <v>ZTWM-CDGS-XS-2024-0248-五冶钢构-南充市医学院项目</v>
      </c>
      <c r="R894" s="26"/>
    </row>
    <row r="895" hidden="1" spans="2:18">
      <c r="B895" s="40" t="s">
        <v>72</v>
      </c>
      <c r="C895" s="70">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8"/>
      <c r="M895" s="91">
        <v>45727</v>
      </c>
      <c r="O895" s="62">
        <f ca="1" t="shared" si="28"/>
        <v>0</v>
      </c>
      <c r="P895" s="62">
        <f ca="1" t="shared" si="29"/>
        <v>233</v>
      </c>
      <c r="Q895" s="26" t="str">
        <f>VLOOKUP(B895,辅助信息!E:M,9,FALSE)</f>
        <v>ZTWM-CDGS-XS-2024-0248-五冶钢构-南充市医学院项目</v>
      </c>
      <c r="R895" s="26"/>
    </row>
    <row r="896" hidden="1" spans="2:18">
      <c r="B896" s="40" t="s">
        <v>72</v>
      </c>
      <c r="C896" s="70">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8"/>
      <c r="M896" s="91">
        <v>45727</v>
      </c>
      <c r="O896" s="62">
        <f ca="1" t="shared" si="28"/>
        <v>0</v>
      </c>
      <c r="P896" s="62">
        <f ca="1" t="shared" si="29"/>
        <v>233</v>
      </c>
      <c r="Q896" s="26" t="str">
        <f>VLOOKUP(B896,辅助信息!E:M,9,FALSE)</f>
        <v>ZTWM-CDGS-XS-2024-0248-五冶钢构-南充市医学院项目</v>
      </c>
      <c r="R896" s="26"/>
    </row>
    <row r="897" hidden="1" spans="2:18">
      <c r="B897" s="40" t="s">
        <v>72</v>
      </c>
      <c r="C897" s="70">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8"/>
      <c r="M897" s="91">
        <v>45727</v>
      </c>
      <c r="O897" s="62">
        <f ca="1" t="shared" si="28"/>
        <v>0</v>
      </c>
      <c r="P897" s="62">
        <f ca="1" t="shared" si="29"/>
        <v>233</v>
      </c>
      <c r="Q897" s="26" t="str">
        <f>VLOOKUP(B897,辅助信息!E:M,9,FALSE)</f>
        <v>ZTWM-CDGS-XS-2024-0248-五冶钢构-南充市医学院项目</v>
      </c>
      <c r="R897" s="26"/>
    </row>
    <row r="898" hidden="1" spans="2:18">
      <c r="B898" s="40" t="s">
        <v>72</v>
      </c>
      <c r="C898" s="70">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8"/>
      <c r="M898" s="91">
        <v>45727</v>
      </c>
      <c r="O898" s="62">
        <f ca="1" t="shared" si="28"/>
        <v>0</v>
      </c>
      <c r="P898" s="62">
        <f ca="1" t="shared" si="29"/>
        <v>233</v>
      </c>
      <c r="Q898" s="26" t="str">
        <f>VLOOKUP(B898,辅助信息!E:M,9,FALSE)</f>
        <v>ZTWM-CDGS-XS-2024-0248-五冶钢构-南充市医学院项目</v>
      </c>
      <c r="R898" s="26"/>
    </row>
    <row r="899" hidden="1" spans="2:18">
      <c r="B899" s="40" t="s">
        <v>72</v>
      </c>
      <c r="C899" s="70">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8"/>
      <c r="M899" s="91">
        <v>45727</v>
      </c>
      <c r="O899" s="62">
        <f ca="1" t="shared" si="28"/>
        <v>0</v>
      </c>
      <c r="P899" s="62">
        <f ca="1" t="shared" si="29"/>
        <v>233</v>
      </c>
      <c r="Q899" s="26" t="str">
        <f>VLOOKUP(B899,辅助信息!E:M,9,FALSE)</f>
        <v>ZTWM-CDGS-XS-2024-0248-五冶钢构-南充市医学院项目</v>
      </c>
      <c r="R899" s="26"/>
    </row>
    <row r="900" hidden="1" spans="2:18">
      <c r="B900" s="40" t="s">
        <v>72</v>
      </c>
      <c r="C900" s="70">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6"/>
      <c r="M900" s="91">
        <v>45727</v>
      </c>
      <c r="O900" s="62">
        <f ca="1" t="shared" si="28"/>
        <v>0</v>
      </c>
      <c r="P900" s="62">
        <f ca="1" t="shared" si="29"/>
        <v>233</v>
      </c>
      <c r="Q900" s="26" t="str">
        <f>VLOOKUP(B900,辅助信息!E:M,9,FALSE)</f>
        <v>ZTWM-CDGS-XS-2024-0248-五冶钢构-南充市医学院项目</v>
      </c>
      <c r="R900" s="26"/>
    </row>
    <row r="901" hidden="1" spans="2:18">
      <c r="B901" s="40" t="s">
        <v>56</v>
      </c>
      <c r="C901" s="70">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7" t="str">
        <f>VLOOKUP(B902,辅助信息!E:J,6,FALSE)</f>
        <v>控制炉批号！多了现场不收！,优先安排达钢,提前联系到场规格及数量</v>
      </c>
      <c r="M901" s="91">
        <v>45728</v>
      </c>
      <c r="O901" s="62">
        <f ca="1" t="shared" si="28"/>
        <v>0</v>
      </c>
      <c r="P901" s="62">
        <f ca="1" t="shared" si="29"/>
        <v>232</v>
      </c>
      <c r="Q901" s="26" t="str">
        <f>VLOOKUP(B901,辅助信息!E:M,9,FALSE)</f>
        <v>ZTWM-CDGS-XS-2024-0134-商投建工达州中医药科技成果示范园项目</v>
      </c>
      <c r="R901" s="26"/>
    </row>
    <row r="902" hidden="1" spans="2:18">
      <c r="B902" s="40" t="s">
        <v>56</v>
      </c>
      <c r="C902" s="70">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8"/>
      <c r="M902" s="91">
        <v>45728</v>
      </c>
      <c r="O902" s="62">
        <f ca="1" t="shared" si="28"/>
        <v>0</v>
      </c>
      <c r="P902" s="62">
        <f ca="1" t="shared" si="29"/>
        <v>232</v>
      </c>
      <c r="Q902" s="26" t="str">
        <f>VLOOKUP(B902,辅助信息!E:M,9,FALSE)</f>
        <v>ZTWM-CDGS-XS-2024-0134-商投建工达州中医药科技成果示范园项目</v>
      </c>
      <c r="R902" s="26"/>
    </row>
    <row r="903" hidden="1" spans="2:18">
      <c r="B903" s="40" t="s">
        <v>56</v>
      </c>
      <c r="C903" s="70">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8"/>
      <c r="M903" s="91">
        <v>45728</v>
      </c>
      <c r="O903" s="62">
        <f ca="1" t="shared" si="28"/>
        <v>0</v>
      </c>
      <c r="P903" s="62">
        <f ca="1" t="shared" si="29"/>
        <v>232</v>
      </c>
      <c r="Q903" s="26" t="str">
        <f>VLOOKUP(B903,辅助信息!E:M,9,FALSE)</f>
        <v>ZTWM-CDGS-XS-2024-0134-商投建工达州中医药科技成果示范园项目</v>
      </c>
      <c r="R903" s="26"/>
    </row>
    <row r="904" hidden="1" spans="2:18">
      <c r="B904" s="40" t="s">
        <v>56</v>
      </c>
      <c r="C904" s="70">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6"/>
      <c r="M904" s="91">
        <v>45728</v>
      </c>
      <c r="O904" s="62">
        <f ca="1" t="shared" si="28"/>
        <v>0</v>
      </c>
      <c r="P904" s="62">
        <f ca="1" t="shared" si="29"/>
        <v>232</v>
      </c>
      <c r="Q904" s="26" t="str">
        <f>VLOOKUP(B904,辅助信息!E:M,9,FALSE)</f>
        <v>ZTWM-CDGS-XS-2024-0134-商投建工达州中医药科技成果示范园项目</v>
      </c>
      <c r="R904" s="26"/>
    </row>
    <row r="905" hidden="1" spans="2:18">
      <c r="B905" s="40" t="s">
        <v>75</v>
      </c>
      <c r="C905" s="70">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7" t="e">
        <f>VLOOKUP(B905,辅助信息!E:J,6,FALSE)</f>
        <v>#N/A</v>
      </c>
      <c r="M905" s="91">
        <v>45731</v>
      </c>
      <c r="O905" s="62">
        <f ca="1" t="shared" si="28"/>
        <v>0</v>
      </c>
      <c r="P905" s="62">
        <f ca="1" t="shared" si="29"/>
        <v>229</v>
      </c>
      <c r="Q905" s="26" t="e">
        <f>VLOOKUP(B905,辅助信息!E:M,9,FALSE)</f>
        <v>#N/A</v>
      </c>
      <c r="R905" s="26"/>
    </row>
    <row r="906" hidden="1" spans="2:18">
      <c r="B906" s="40" t="s">
        <v>75</v>
      </c>
      <c r="C906" s="70">
        <v>45728</v>
      </c>
      <c r="D906" s="40" t="e">
        <f>VLOOKUP(B906,辅助信息!E:K,7,FALSE)</f>
        <v>#N/A</v>
      </c>
      <c r="E906" s="40" t="str">
        <f>VLOOKUP(F906,辅助信息!A:B,2,FALSE)</f>
        <v>螺纹钢</v>
      </c>
      <c r="F906" s="40" t="s">
        <v>19</v>
      </c>
      <c r="G906" s="36">
        <v>15</v>
      </c>
      <c r="H906" s="87"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8"/>
      <c r="M906" s="91">
        <v>45731</v>
      </c>
      <c r="O906" s="62">
        <f ca="1" t="shared" si="28"/>
        <v>0</v>
      </c>
      <c r="P906" s="62">
        <f ca="1" t="shared" si="29"/>
        <v>229</v>
      </c>
      <c r="Q906" s="26" t="e">
        <f>VLOOKUP(B906,辅助信息!E:M,9,FALSE)</f>
        <v>#N/A</v>
      </c>
      <c r="R906" s="26"/>
    </row>
    <row r="907" hidden="1" spans="2:18">
      <c r="B907" s="40" t="s">
        <v>75</v>
      </c>
      <c r="C907" s="70">
        <v>45728</v>
      </c>
      <c r="D907" s="40" t="e">
        <f>VLOOKUP(B907,辅助信息!E:K,7,FALSE)</f>
        <v>#N/A</v>
      </c>
      <c r="E907" s="40" t="str">
        <f>VLOOKUP(F907,辅助信息!A:B,2,FALSE)</f>
        <v>螺纹钢</v>
      </c>
      <c r="F907" s="40" t="s">
        <v>65</v>
      </c>
      <c r="G907" s="36">
        <v>60</v>
      </c>
      <c r="H907" s="87"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6"/>
      <c r="M907" s="91">
        <v>45731</v>
      </c>
      <c r="O907" s="62">
        <f ca="1" t="shared" si="28"/>
        <v>0</v>
      </c>
      <c r="P907" s="62">
        <f ca="1" t="shared" si="29"/>
        <v>229</v>
      </c>
      <c r="Q907" s="26" t="e">
        <f>VLOOKUP(B907,辅助信息!E:M,9,FALSE)</f>
        <v>#N/A</v>
      </c>
      <c r="R907" s="26"/>
    </row>
    <row r="908" hidden="1" spans="2:18">
      <c r="B908" s="40" t="s">
        <v>87</v>
      </c>
      <c r="C908" s="70">
        <v>45727</v>
      </c>
      <c r="D908" s="40" t="e">
        <f>VLOOKUP(B908,辅助信息!E:K,7,FALSE)</f>
        <v>#N/A</v>
      </c>
      <c r="E908" s="40" t="str">
        <f>VLOOKUP(F908,辅助信息!A:B,2,FALSE)</f>
        <v>螺纹钢</v>
      </c>
      <c r="F908" s="40" t="s">
        <v>27</v>
      </c>
      <c r="G908" s="36">
        <v>8</v>
      </c>
      <c r="H908" s="87"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7" t="e">
        <f>VLOOKUP(B908,辅助信息!E:J,6,FALSE)</f>
        <v>#N/A</v>
      </c>
      <c r="M908" s="91">
        <v>45728</v>
      </c>
      <c r="O908" s="62">
        <f ca="1" t="shared" si="28"/>
        <v>0</v>
      </c>
      <c r="P908" s="62">
        <f ca="1" t="shared" si="29"/>
        <v>232</v>
      </c>
      <c r="Q908" s="26" t="e">
        <f>VLOOKUP(B908,辅助信息!E:M,9,FALSE)</f>
        <v>#N/A</v>
      </c>
      <c r="R908" s="26"/>
    </row>
    <row r="909" hidden="1" spans="2:18">
      <c r="B909" s="40" t="s">
        <v>87</v>
      </c>
      <c r="C909" s="70">
        <v>45727</v>
      </c>
      <c r="D909" s="40" t="e">
        <f>VLOOKUP(B909,辅助信息!E:K,7,FALSE)</f>
        <v>#N/A</v>
      </c>
      <c r="E909" s="40" t="str">
        <f>VLOOKUP(F909,辅助信息!A:B,2,FALSE)</f>
        <v>螺纹钢</v>
      </c>
      <c r="F909" s="40" t="s">
        <v>19</v>
      </c>
      <c r="G909" s="36">
        <v>8</v>
      </c>
      <c r="H909" s="87"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8"/>
      <c r="M909" s="91">
        <v>45728</v>
      </c>
      <c r="O909" s="62">
        <f ca="1" t="shared" si="28"/>
        <v>0</v>
      </c>
      <c r="P909" s="62">
        <f ca="1" t="shared" si="29"/>
        <v>232</v>
      </c>
      <c r="Q909" s="26" t="e">
        <f>VLOOKUP(B909,辅助信息!E:M,9,FALSE)</f>
        <v>#N/A</v>
      </c>
      <c r="R909" s="26"/>
    </row>
    <row r="910" hidden="1" spans="2:18">
      <c r="B910" s="40" t="s">
        <v>87</v>
      </c>
      <c r="C910" s="70">
        <v>45727</v>
      </c>
      <c r="D910" s="40" t="e">
        <f>VLOOKUP(B910,辅助信息!E:K,7,FALSE)</f>
        <v>#N/A</v>
      </c>
      <c r="E910" s="40" t="str">
        <f>VLOOKUP(F910,辅助信息!A:B,2,FALSE)</f>
        <v>螺纹钢</v>
      </c>
      <c r="F910" s="40" t="s">
        <v>65</v>
      </c>
      <c r="G910" s="36">
        <v>19</v>
      </c>
      <c r="H910" s="87"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6"/>
      <c r="M910" s="91">
        <v>45728</v>
      </c>
      <c r="O910" s="62">
        <f ca="1" t="shared" si="28"/>
        <v>0</v>
      </c>
      <c r="P910" s="62">
        <f ca="1" t="shared" si="29"/>
        <v>232</v>
      </c>
      <c r="Q910" s="26" t="e">
        <f>VLOOKUP(B910,辅助信息!E:M,9,FALSE)</f>
        <v>#N/A</v>
      </c>
      <c r="R910" s="26"/>
    </row>
    <row r="911" hidden="1" spans="2:18">
      <c r="B911" s="40" t="s">
        <v>74</v>
      </c>
      <c r="C911" s="70">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7" t="e">
        <f>VLOOKUP(B912,辅助信息!E:J,6,FALSE)</f>
        <v>#N/A</v>
      </c>
      <c r="M911" s="91">
        <v>45728</v>
      </c>
      <c r="O911" s="62">
        <f ca="1" t="shared" si="28"/>
        <v>0</v>
      </c>
      <c r="P911" s="62">
        <f ca="1" t="shared" si="29"/>
        <v>232</v>
      </c>
      <c r="Q911" s="26" t="e">
        <f>VLOOKUP(B911,辅助信息!E:M,9,FALSE)</f>
        <v>#N/A</v>
      </c>
      <c r="R911" s="26"/>
    </row>
    <row r="912" hidden="1" spans="2:18">
      <c r="B912" s="40" t="s">
        <v>74</v>
      </c>
      <c r="C912" s="70">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8"/>
      <c r="M912" s="91">
        <v>45728</v>
      </c>
      <c r="O912" s="62">
        <f ca="1" t="shared" si="28"/>
        <v>0</v>
      </c>
      <c r="P912" s="62">
        <f ca="1" t="shared" si="29"/>
        <v>232</v>
      </c>
      <c r="Q912" s="26" t="e">
        <f>VLOOKUP(B912,辅助信息!E:M,9,FALSE)</f>
        <v>#N/A</v>
      </c>
      <c r="R912" s="26"/>
    </row>
    <row r="913" hidden="1" spans="2:18">
      <c r="B913" s="40" t="s">
        <v>74</v>
      </c>
      <c r="C913" s="70">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8"/>
      <c r="M913" s="91">
        <v>45728</v>
      </c>
      <c r="O913" s="62">
        <f ca="1" t="shared" si="28"/>
        <v>0</v>
      </c>
      <c r="P913" s="62">
        <f ca="1" t="shared" si="29"/>
        <v>232</v>
      </c>
      <c r="Q913" s="26" t="e">
        <f>VLOOKUP(B913,辅助信息!E:M,9,FALSE)</f>
        <v>#N/A</v>
      </c>
      <c r="R913" s="26"/>
    </row>
    <row r="914" hidden="1" spans="2:18">
      <c r="B914" s="40" t="s">
        <v>74</v>
      </c>
      <c r="C914" s="70">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8"/>
      <c r="M914" s="91">
        <v>45728</v>
      </c>
      <c r="O914" s="62">
        <f ca="1" t="shared" si="28"/>
        <v>0</v>
      </c>
      <c r="P914" s="62">
        <f ca="1" t="shared" si="29"/>
        <v>232</v>
      </c>
      <c r="Q914" s="26" t="e">
        <f>VLOOKUP(B914,辅助信息!E:M,9,FALSE)</f>
        <v>#N/A</v>
      </c>
      <c r="R914" s="26"/>
    </row>
    <row r="915" hidden="1" spans="2:18">
      <c r="B915" s="40" t="s">
        <v>74</v>
      </c>
      <c r="C915" s="70">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8"/>
      <c r="M915" s="91">
        <v>45728</v>
      </c>
      <c r="O915" s="62">
        <f ca="1" t="shared" si="28"/>
        <v>0</v>
      </c>
      <c r="P915" s="62">
        <f ca="1" t="shared" si="29"/>
        <v>232</v>
      </c>
      <c r="Q915" s="26" t="e">
        <f>VLOOKUP(B915,辅助信息!E:M,9,FALSE)</f>
        <v>#N/A</v>
      </c>
      <c r="R915" s="26"/>
    </row>
    <row r="916" hidden="1" spans="2:18">
      <c r="B916" s="40" t="s">
        <v>74</v>
      </c>
      <c r="C916" s="70">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6"/>
      <c r="M916" s="91">
        <v>45728</v>
      </c>
      <c r="O916" s="62">
        <f ca="1" t="shared" si="28"/>
        <v>0</v>
      </c>
      <c r="P916" s="62">
        <f ca="1" t="shared" si="29"/>
        <v>232</v>
      </c>
      <c r="Q916" s="26" t="e">
        <f>VLOOKUP(B916,辅助信息!E:M,9,FALSE)</f>
        <v>#N/A</v>
      </c>
      <c r="R916" s="26"/>
    </row>
    <row r="917" ht="45" hidden="1" customHeight="1" spans="2:18">
      <c r="B917" s="40" t="s">
        <v>63</v>
      </c>
      <c r="C917" s="70">
        <v>45727</v>
      </c>
      <c r="D917" s="40" t="e">
        <f>VLOOKUP(B917,辅助信息!E:K,7,FALSE)</f>
        <v>#N/A</v>
      </c>
      <c r="E917" s="40" t="str">
        <f>VLOOKUP(F917,辅助信息!A:B,2,FALSE)</f>
        <v>螺纹钢</v>
      </c>
      <c r="F917" s="40" t="s">
        <v>18</v>
      </c>
      <c r="G917" s="36">
        <v>36</v>
      </c>
      <c r="H917" s="87"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7" t="e">
        <f>VLOOKUP(B917,辅助信息!E:J,6,FALSE)</f>
        <v>#N/A</v>
      </c>
      <c r="M917" s="91">
        <v>45728</v>
      </c>
      <c r="O917" s="62">
        <f ca="1" t="shared" si="28"/>
        <v>0</v>
      </c>
      <c r="P917" s="62">
        <f ca="1" t="shared" si="29"/>
        <v>232</v>
      </c>
      <c r="Q917" s="26" t="e">
        <f>VLOOKUP(B917,辅助信息!E:M,9,FALSE)</f>
        <v>#N/A</v>
      </c>
      <c r="R917" s="26"/>
    </row>
    <row r="918" hidden="1" spans="2:18">
      <c r="B918" s="40" t="s">
        <v>64</v>
      </c>
      <c r="C918" s="70">
        <v>45727</v>
      </c>
      <c r="D918" s="40" t="e">
        <f>VLOOKUP(B918,辅助信息!E:K,7,FALSE)</f>
        <v>#N/A</v>
      </c>
      <c r="E918" s="40" t="str">
        <f>VLOOKUP(F918,辅助信息!A:B,2,FALSE)</f>
        <v>螺纹钢</v>
      </c>
      <c r="F918" s="40" t="s">
        <v>32</v>
      </c>
      <c r="G918" s="36">
        <v>6</v>
      </c>
      <c r="H918" s="87"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7" t="e">
        <f>VLOOKUP(B918,辅助信息!E:J,6,FALSE)</f>
        <v>#N/A</v>
      </c>
      <c r="M918" s="91">
        <v>45728</v>
      </c>
      <c r="O918" s="62">
        <f ca="1" t="shared" si="28"/>
        <v>0</v>
      </c>
      <c r="P918" s="62">
        <f ca="1" t="shared" si="29"/>
        <v>232</v>
      </c>
      <c r="Q918" s="26" t="e">
        <f>VLOOKUP(B918,辅助信息!E:M,9,FALSE)</f>
        <v>#N/A</v>
      </c>
      <c r="R918" s="26"/>
    </row>
    <row r="919" hidden="1" spans="2:18">
      <c r="B919" s="40" t="s">
        <v>64</v>
      </c>
      <c r="C919" s="70">
        <v>45727</v>
      </c>
      <c r="D919" s="40" t="e">
        <f>VLOOKUP(B919,辅助信息!E:K,7,FALSE)</f>
        <v>#N/A</v>
      </c>
      <c r="E919" s="40" t="str">
        <f>VLOOKUP(F919,辅助信息!A:B,2,FALSE)</f>
        <v>螺纹钢</v>
      </c>
      <c r="F919" s="40" t="s">
        <v>33</v>
      </c>
      <c r="G919" s="36">
        <v>6</v>
      </c>
      <c r="H919" s="87"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8"/>
      <c r="M919" s="91">
        <v>45728</v>
      </c>
      <c r="O919" s="62">
        <f ca="1" t="shared" si="28"/>
        <v>0</v>
      </c>
      <c r="P919" s="62">
        <f ca="1" t="shared" si="29"/>
        <v>232</v>
      </c>
      <c r="Q919" s="26" t="e">
        <f>VLOOKUP(B919,辅助信息!E:M,9,FALSE)</f>
        <v>#N/A</v>
      </c>
      <c r="R919" s="26"/>
    </row>
    <row r="920" hidden="1" spans="2:18">
      <c r="B920" s="40" t="s">
        <v>64</v>
      </c>
      <c r="C920" s="70">
        <v>45727</v>
      </c>
      <c r="D920" s="40" t="e">
        <f>VLOOKUP(B920,辅助信息!E:K,7,FALSE)</f>
        <v>#N/A</v>
      </c>
      <c r="E920" s="40" t="str">
        <f>VLOOKUP(F920,辅助信息!A:B,2,FALSE)</f>
        <v>螺纹钢</v>
      </c>
      <c r="F920" s="40" t="s">
        <v>28</v>
      </c>
      <c r="G920" s="36">
        <v>9</v>
      </c>
      <c r="H920" s="87"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8"/>
      <c r="M920" s="91">
        <v>45728</v>
      </c>
      <c r="O920" s="62">
        <f ca="1" t="shared" si="28"/>
        <v>0</v>
      </c>
      <c r="P920" s="62">
        <f ca="1" t="shared" si="29"/>
        <v>232</v>
      </c>
      <c r="Q920" s="26" t="e">
        <f>VLOOKUP(B920,辅助信息!E:M,9,FALSE)</f>
        <v>#N/A</v>
      </c>
      <c r="R920" s="26"/>
    </row>
    <row r="921" hidden="1" spans="2:18">
      <c r="B921" s="40" t="s">
        <v>64</v>
      </c>
      <c r="C921" s="70">
        <v>45727</v>
      </c>
      <c r="D921" s="40" t="e">
        <f>VLOOKUP(B921,辅助信息!E:K,7,FALSE)</f>
        <v>#N/A</v>
      </c>
      <c r="E921" s="40" t="str">
        <f>VLOOKUP(F921,辅助信息!A:B,2,FALSE)</f>
        <v>螺纹钢</v>
      </c>
      <c r="F921" s="40" t="s">
        <v>65</v>
      </c>
      <c r="G921" s="36">
        <f>42+12</f>
        <v>54</v>
      </c>
      <c r="H921" s="87"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8"/>
      <c r="M921" s="91">
        <v>45728</v>
      </c>
      <c r="O921" s="62">
        <f ca="1" t="shared" si="28"/>
        <v>0</v>
      </c>
      <c r="P921" s="62">
        <f ca="1" t="shared" si="29"/>
        <v>232</v>
      </c>
      <c r="Q921" s="26" t="e">
        <f>VLOOKUP(B921,辅助信息!E:M,9,FALSE)</f>
        <v>#N/A</v>
      </c>
      <c r="R921" s="26"/>
    </row>
    <row r="922" hidden="1" spans="2:18">
      <c r="B922" s="40" t="s">
        <v>64</v>
      </c>
      <c r="C922" s="70">
        <v>45727</v>
      </c>
      <c r="D922" s="40" t="e">
        <f>VLOOKUP(B922,辅助信息!E:K,7,FALSE)</f>
        <v>#N/A</v>
      </c>
      <c r="E922" s="40" t="str">
        <f>VLOOKUP(F922,辅助信息!A:B,2,FALSE)</f>
        <v>螺纹钢</v>
      </c>
      <c r="F922" s="40" t="s">
        <v>52</v>
      </c>
      <c r="G922" s="36">
        <f>21+9</f>
        <v>30</v>
      </c>
      <c r="H922" s="87"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6"/>
      <c r="M922" s="91">
        <v>45728</v>
      </c>
      <c r="O922" s="62">
        <f ca="1" t="shared" si="28"/>
        <v>0</v>
      </c>
      <c r="P922" s="62">
        <f ca="1" t="shared" si="29"/>
        <v>232</v>
      </c>
      <c r="Q922" s="26" t="e">
        <f>VLOOKUP(B922,辅助信息!E:M,9,FALSE)</f>
        <v>#N/A</v>
      </c>
      <c r="R922" s="26"/>
    </row>
    <row r="923" hidden="1" spans="2:18">
      <c r="B923" s="40" t="s">
        <v>60</v>
      </c>
      <c r="C923" s="70">
        <v>45727</v>
      </c>
      <c r="D923" s="40" t="str">
        <f>VLOOKUP(B923,辅助信息!E:K,7,FALSE)</f>
        <v>JWDDCD2025051000019</v>
      </c>
      <c r="E923" s="40" t="str">
        <f>VLOOKUP(F923,辅助信息!A:B,2,FALSE)</f>
        <v>高线</v>
      </c>
      <c r="F923" s="40" t="s">
        <v>51</v>
      </c>
      <c r="G923" s="36">
        <v>9</v>
      </c>
      <c r="H923" s="87">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7" t="str">
        <f>VLOOKUP(B923,辅助信息!E:J,6,FALSE)</f>
        <v>送货单：送货单位：南充思临新材料科技有限公司,收货单位：五冶集团川北(南充)建设有限公司,项目名称：南充医学科学产业园,送货车型13米,装货前联系收货人核实到场规格</v>
      </c>
      <c r="M923" s="91">
        <v>45728</v>
      </c>
      <c r="O923" s="62">
        <f ca="1" t="shared" si="28"/>
        <v>0</v>
      </c>
      <c r="P923" s="62">
        <f ca="1" t="shared" si="29"/>
        <v>232</v>
      </c>
      <c r="Q923" s="26" t="str">
        <f>VLOOKUP(B923,辅助信息!E:M,9,FALSE)</f>
        <v>ZTWM-CDGS-XS-2024-0248-五冶钢构-南充市医学院项目</v>
      </c>
      <c r="R923" s="26"/>
    </row>
    <row r="924" hidden="1" spans="2:18">
      <c r="B924" s="40" t="s">
        <v>60</v>
      </c>
      <c r="C924" s="70">
        <v>45727</v>
      </c>
      <c r="D924" s="40" t="str">
        <f>VLOOKUP(B924,辅助信息!E:K,7,FALSE)</f>
        <v>JWDDCD2025051000019</v>
      </c>
      <c r="E924" s="40" t="str">
        <f>VLOOKUP(F924,辅助信息!A:B,2,FALSE)</f>
        <v>螺纹钢</v>
      </c>
      <c r="F924" s="40" t="s">
        <v>27</v>
      </c>
      <c r="G924" s="36">
        <v>16</v>
      </c>
      <c r="H924" s="87">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8"/>
      <c r="M924" s="91">
        <v>45728</v>
      </c>
      <c r="O924" s="62">
        <f ca="1" t="shared" si="28"/>
        <v>0</v>
      </c>
      <c r="P924" s="62">
        <f ca="1" t="shared" si="29"/>
        <v>232</v>
      </c>
      <c r="Q924" s="26" t="str">
        <f>VLOOKUP(B924,辅助信息!E:M,9,FALSE)</f>
        <v>ZTWM-CDGS-XS-2024-0248-五冶钢构-南充市医学院项目</v>
      </c>
      <c r="R924" s="26"/>
    </row>
    <row r="925" hidden="1" spans="2:18">
      <c r="B925" s="40" t="s">
        <v>60</v>
      </c>
      <c r="C925" s="70">
        <v>45727</v>
      </c>
      <c r="D925" s="40" t="str">
        <f>VLOOKUP(B925,辅助信息!E:K,7,FALSE)</f>
        <v>JWDDCD2025051000019</v>
      </c>
      <c r="E925" s="40" t="str">
        <f>VLOOKUP(F925,辅助信息!A:B,2,FALSE)</f>
        <v>螺纹钢</v>
      </c>
      <c r="F925" s="40" t="s">
        <v>19</v>
      </c>
      <c r="G925" s="36">
        <v>15</v>
      </c>
      <c r="H925" s="87">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8"/>
      <c r="M925" s="91">
        <v>45728</v>
      </c>
      <c r="O925" s="62">
        <f ca="1" t="shared" si="28"/>
        <v>0</v>
      </c>
      <c r="P925" s="62">
        <f ca="1" t="shared" si="29"/>
        <v>232</v>
      </c>
      <c r="Q925" s="26" t="str">
        <f>VLOOKUP(B925,辅助信息!E:M,9,FALSE)</f>
        <v>ZTWM-CDGS-XS-2024-0248-五冶钢构-南充市医学院项目</v>
      </c>
      <c r="R925" s="26"/>
    </row>
    <row r="926" hidden="1" spans="2:18">
      <c r="B926" s="40" t="s">
        <v>60</v>
      </c>
      <c r="C926" s="70">
        <v>45727</v>
      </c>
      <c r="D926" s="40" t="str">
        <f>VLOOKUP(B926,辅助信息!E:K,7,FALSE)</f>
        <v>JWDDCD2025051000019</v>
      </c>
      <c r="E926" s="40" t="str">
        <f>VLOOKUP(F926,辅助信息!A:B,2,FALSE)</f>
        <v>螺纹钢</v>
      </c>
      <c r="F926" s="40" t="s">
        <v>32</v>
      </c>
      <c r="G926" s="36">
        <v>10</v>
      </c>
      <c r="H926" s="87">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8"/>
      <c r="M926" s="91">
        <v>45728</v>
      </c>
      <c r="O926" s="62">
        <f ca="1" t="shared" si="28"/>
        <v>0</v>
      </c>
      <c r="P926" s="62">
        <f ca="1" t="shared" si="29"/>
        <v>232</v>
      </c>
      <c r="Q926" s="26" t="str">
        <f>VLOOKUP(B926,辅助信息!E:M,9,FALSE)</f>
        <v>ZTWM-CDGS-XS-2024-0248-五冶钢构-南充市医学院项目</v>
      </c>
      <c r="R926" s="26"/>
    </row>
    <row r="927" hidden="1" spans="2:18">
      <c r="B927" s="40" t="s">
        <v>60</v>
      </c>
      <c r="C927" s="70">
        <v>45727</v>
      </c>
      <c r="D927" s="40" t="str">
        <f>VLOOKUP(B927,辅助信息!E:K,7,FALSE)</f>
        <v>JWDDCD2025051000019</v>
      </c>
      <c r="E927" s="40" t="str">
        <f>VLOOKUP(F927,辅助信息!A:B,2,FALSE)</f>
        <v>螺纹钢</v>
      </c>
      <c r="F927" s="40" t="s">
        <v>18</v>
      </c>
      <c r="G927" s="36">
        <v>20</v>
      </c>
      <c r="H927" s="87">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6"/>
      <c r="M927" s="91">
        <v>45728</v>
      </c>
      <c r="O927" s="62">
        <f ca="1" t="shared" si="28"/>
        <v>0</v>
      </c>
      <c r="P927" s="62">
        <f ca="1" t="shared" si="29"/>
        <v>232</v>
      </c>
      <c r="Q927" s="26" t="str">
        <f>VLOOKUP(B927,辅助信息!E:M,9,FALSE)</f>
        <v>ZTWM-CDGS-XS-2024-0248-五冶钢构-南充市医学院项目</v>
      </c>
      <c r="R927" s="26"/>
    </row>
    <row r="928" hidden="1" spans="2:18">
      <c r="B928" s="40" t="s">
        <v>68</v>
      </c>
      <c r="C928" s="70">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7" t="str">
        <f>VLOOKUP(B931,辅助信息!E:J,6,FALSE)</f>
        <v>控制炉批号！多了现场不收！,优先安排达钢,提前联系到场规格及数量</v>
      </c>
      <c r="M928" s="91">
        <v>45726</v>
      </c>
      <c r="O928" s="62">
        <f ca="1" t="shared" si="28"/>
        <v>0</v>
      </c>
      <c r="P928" s="62">
        <f ca="1" t="shared" si="29"/>
        <v>234</v>
      </c>
      <c r="Q928" s="26" t="str">
        <f>VLOOKUP(B928,辅助信息!E:M,9,FALSE)</f>
        <v>ZTWM-CDGS-XS-2024-0134-商投建工达州中医药科技成果示范园项目</v>
      </c>
      <c r="R928" s="26"/>
    </row>
    <row r="929" hidden="1" spans="2:18">
      <c r="B929" s="40" t="s">
        <v>68</v>
      </c>
      <c r="C929" s="70">
        <v>45727</v>
      </c>
      <c r="D929" s="40" t="s">
        <v>115</v>
      </c>
      <c r="E929" s="40" t="s">
        <v>116</v>
      </c>
      <c r="F929" s="40" t="s">
        <v>32</v>
      </c>
      <c r="G929" s="36">
        <v>132</v>
      </c>
      <c r="H929" s="87">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8"/>
      <c r="M929" s="91">
        <v>45726</v>
      </c>
      <c r="O929" s="62">
        <f ca="1" t="shared" si="28"/>
        <v>0</v>
      </c>
      <c r="P929" s="62">
        <f ca="1" t="shared" si="29"/>
        <v>234</v>
      </c>
      <c r="Q929" s="26" t="str">
        <f>VLOOKUP(B929,辅助信息!E:M,9,FALSE)</f>
        <v>ZTWM-CDGS-XS-2024-0134-商投建工达州中医药科技成果示范园项目</v>
      </c>
      <c r="R929" s="26"/>
    </row>
    <row r="930" hidden="1" spans="2:18">
      <c r="B930" s="40" t="s">
        <v>68</v>
      </c>
      <c r="C930" s="70">
        <v>45727</v>
      </c>
      <c r="D930" s="40" t="s">
        <v>115</v>
      </c>
      <c r="E930" s="40" t="s">
        <v>116</v>
      </c>
      <c r="F930" s="40" t="s">
        <v>33</v>
      </c>
      <c r="G930" s="36">
        <v>19</v>
      </c>
      <c r="H930" s="87">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8"/>
      <c r="M930" s="91">
        <v>45726</v>
      </c>
      <c r="O930" s="62">
        <f ca="1" t="shared" ref="O930:O993" si="30">IF(OR(M930="",N930&lt;&gt;""),"",MAX(M930-TODAY(),0))</f>
        <v>0</v>
      </c>
      <c r="P930" s="62">
        <f ca="1" t="shared" ref="P930:P993" si="31">IF(M930="","",IF(N930&lt;&gt;"",MAX(N930-M930,0),IF(TODAY()&gt;M930,TODAY()-M930,0)))</f>
        <v>234</v>
      </c>
      <c r="Q930" s="26" t="str">
        <f>VLOOKUP(B930,辅助信息!E:M,9,FALSE)</f>
        <v>ZTWM-CDGS-XS-2024-0134-商投建工达州中医药科技成果示范园项目</v>
      </c>
      <c r="R930" s="26"/>
    </row>
    <row r="931" hidden="1" spans="2:18">
      <c r="B931" s="40" t="s">
        <v>68</v>
      </c>
      <c r="C931" s="70">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6"/>
      <c r="M931" s="91">
        <v>45726</v>
      </c>
      <c r="O931" s="62">
        <f ca="1" t="shared" si="30"/>
        <v>0</v>
      </c>
      <c r="P931" s="62">
        <f ca="1" t="shared" si="31"/>
        <v>234</v>
      </c>
      <c r="Q931" s="26" t="str">
        <f>VLOOKUP(B931,辅助信息!E:M,9,FALSE)</f>
        <v>ZTWM-CDGS-XS-2024-0134-商投建工达州中医药科技成果示范园项目</v>
      </c>
      <c r="R931" s="26"/>
    </row>
    <row r="932" hidden="1" spans="2:18">
      <c r="B932" s="40" t="s">
        <v>64</v>
      </c>
      <c r="C932" s="70">
        <v>45727</v>
      </c>
      <c r="D932" s="40" t="e">
        <f>VLOOKUP(B932,辅助信息!E:K,7,FALSE)</f>
        <v>#N/A</v>
      </c>
      <c r="E932" s="40" t="str">
        <f>VLOOKUP(F932,辅助信息!A:B,2,FALSE)</f>
        <v>螺纹钢</v>
      </c>
      <c r="F932" s="40" t="s">
        <v>65</v>
      </c>
      <c r="G932" s="36">
        <v>12</v>
      </c>
      <c r="H932" s="87">
        <v>12</v>
      </c>
      <c r="I932" s="40" t="e">
        <f>VLOOKUP(B932,辅助信息!E:I,3,FALSE)</f>
        <v>#N/A</v>
      </c>
      <c r="J932" s="40" t="e">
        <f>VLOOKUP(B932,辅助信息!E:I,4,FALSE)</f>
        <v>#N/A</v>
      </c>
      <c r="K932" s="40" t="e">
        <f>VLOOKUP(J932,辅助信息!H:I,2,FALSE)</f>
        <v>#N/A</v>
      </c>
      <c r="L932" s="77" t="e">
        <f>VLOOKUP(B932,辅助信息!E:J,6,FALSE)</f>
        <v>#N/A</v>
      </c>
      <c r="M932" s="91">
        <v>45726</v>
      </c>
      <c r="O932" s="62">
        <f ca="1" t="shared" si="30"/>
        <v>0</v>
      </c>
      <c r="P932" s="62">
        <f ca="1" t="shared" si="31"/>
        <v>234</v>
      </c>
      <c r="Q932" s="26" t="e">
        <f>VLOOKUP(B932,辅助信息!E:M,9,FALSE)</f>
        <v>#N/A</v>
      </c>
      <c r="R932" s="26"/>
    </row>
    <row r="933" hidden="1" spans="2:18">
      <c r="B933" s="40" t="s">
        <v>64</v>
      </c>
      <c r="C933" s="70">
        <v>45727</v>
      </c>
      <c r="D933" s="40" t="e">
        <f>VLOOKUP(B933,辅助信息!E:K,7,FALSE)</f>
        <v>#N/A</v>
      </c>
      <c r="E933" s="40" t="str">
        <f>VLOOKUP(F933,辅助信息!A:B,2,FALSE)</f>
        <v>螺纹钢</v>
      </c>
      <c r="F933" s="40" t="s">
        <v>52</v>
      </c>
      <c r="G933" s="36">
        <v>8</v>
      </c>
      <c r="H933" s="87">
        <v>8</v>
      </c>
      <c r="I933" s="40" t="e">
        <f>VLOOKUP(B933,辅助信息!E:I,3,FALSE)</f>
        <v>#N/A</v>
      </c>
      <c r="J933" s="40" t="e">
        <f>VLOOKUP(B933,辅助信息!E:I,4,FALSE)</f>
        <v>#N/A</v>
      </c>
      <c r="K933" s="40" t="e">
        <f>VLOOKUP(J933,辅助信息!H:I,2,FALSE)</f>
        <v>#N/A</v>
      </c>
      <c r="L933" s="76"/>
      <c r="M933" s="91">
        <v>45726</v>
      </c>
      <c r="O933" s="62">
        <f ca="1" t="shared" si="30"/>
        <v>0</v>
      </c>
      <c r="P933" s="62">
        <f ca="1" t="shared" si="31"/>
        <v>234</v>
      </c>
      <c r="Q933" s="26" t="e">
        <f>VLOOKUP(B933,辅助信息!E:M,9,FALSE)</f>
        <v>#N/A</v>
      </c>
      <c r="R933" s="26"/>
    </row>
    <row r="934" ht="56.25" hidden="1" customHeight="1" spans="2:18">
      <c r="B934" s="40" t="s">
        <v>29</v>
      </c>
      <c r="C934" s="70">
        <v>45727</v>
      </c>
      <c r="D934" s="40" t="e">
        <f>VLOOKUP(B934,辅助信息!E:K,7,FALSE)</f>
        <v>#N/A</v>
      </c>
      <c r="E934" s="40" t="str">
        <f>VLOOKUP(F934,辅助信息!A:B,2,FALSE)</f>
        <v>螺纹钢</v>
      </c>
      <c r="F934" s="40" t="s">
        <v>28</v>
      </c>
      <c r="G934" s="36">
        <v>70</v>
      </c>
      <c r="H934" s="87"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7" t="e">
        <f>VLOOKUP(B934,辅助信息!E:J,6,FALSE)</f>
        <v>#N/A</v>
      </c>
      <c r="M934" s="91">
        <v>45726</v>
      </c>
      <c r="O934" s="62">
        <f ca="1" t="shared" si="30"/>
        <v>0</v>
      </c>
      <c r="P934" s="62">
        <f ca="1" t="shared" si="31"/>
        <v>234</v>
      </c>
      <c r="Q934" s="26" t="e">
        <f>VLOOKUP(B934,辅助信息!E:M,9,FALSE)</f>
        <v>#N/A</v>
      </c>
      <c r="R934" s="26"/>
    </row>
    <row r="935" hidden="1" spans="2:18">
      <c r="B935" s="40" t="s">
        <v>54</v>
      </c>
      <c r="C935" s="70">
        <v>45727</v>
      </c>
      <c r="D935" s="40" t="e">
        <f>VLOOKUP(B935,辅助信息!E:K,7,FALSE)</f>
        <v>#N/A</v>
      </c>
      <c r="E935" s="40" t="str">
        <f>VLOOKUP(F935,辅助信息!A:B,2,FALSE)</f>
        <v>螺纹钢</v>
      </c>
      <c r="F935" s="40" t="s">
        <v>32</v>
      </c>
      <c r="G935" s="36">
        <f>46-27</f>
        <v>19</v>
      </c>
      <c r="H935" s="87"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7" t="e">
        <f>VLOOKUP(B935,辅助信息!E:J,6,FALSE)</f>
        <v>#N/A</v>
      </c>
      <c r="M935" s="91">
        <v>45728</v>
      </c>
      <c r="O935" s="62">
        <f ca="1" t="shared" si="30"/>
        <v>0</v>
      </c>
      <c r="P935" s="62">
        <f ca="1" t="shared" si="31"/>
        <v>232</v>
      </c>
      <c r="Q935" s="26" t="e">
        <f>VLOOKUP(B935,辅助信息!E:M,9,FALSE)</f>
        <v>#N/A</v>
      </c>
      <c r="R935" s="26"/>
    </row>
    <row r="936" hidden="1" spans="2:18">
      <c r="B936" s="40" t="s">
        <v>54</v>
      </c>
      <c r="C936" s="70">
        <v>45727</v>
      </c>
      <c r="D936" s="40" t="e">
        <f>VLOOKUP(B936,辅助信息!E:K,7,FALSE)</f>
        <v>#N/A</v>
      </c>
      <c r="E936" s="40" t="str">
        <f>VLOOKUP(F936,辅助信息!A:B,2,FALSE)</f>
        <v>螺纹钢</v>
      </c>
      <c r="F936" s="40" t="s">
        <v>52</v>
      </c>
      <c r="G936" s="36">
        <v>2</v>
      </c>
      <c r="H936" s="87"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6"/>
      <c r="M936" s="91">
        <v>45728</v>
      </c>
      <c r="O936" s="62">
        <f ca="1" t="shared" si="30"/>
        <v>0</v>
      </c>
      <c r="P936" s="62">
        <f ca="1" t="shared" si="31"/>
        <v>232</v>
      </c>
      <c r="Q936" s="26" t="e">
        <f>VLOOKUP(B936,辅助信息!E:M,9,FALSE)</f>
        <v>#N/A</v>
      </c>
      <c r="R936" s="26"/>
    </row>
    <row r="937" hidden="1" spans="2:18">
      <c r="B937" s="40" t="s">
        <v>20</v>
      </c>
      <c r="C937" s="70">
        <v>45728</v>
      </c>
      <c r="D937" s="40" t="str">
        <f>VLOOKUP(B937,辅助信息!E:K,7,FALSE)</f>
        <v>JWDDCD2025051000019</v>
      </c>
      <c r="E937" s="40" t="str">
        <f>VLOOKUP(F937,辅助信息!A:B,2,FALSE)</f>
        <v>盘螺</v>
      </c>
      <c r="F937" s="40" t="s">
        <v>49</v>
      </c>
      <c r="G937" s="36">
        <v>8</v>
      </c>
      <c r="H937" s="87">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7" t="str">
        <f>VLOOKUP(B938,辅助信息!E:J,6,FALSE)</f>
        <v>送货单：送货单位：南充思临新材料科技有限公司,收货单位：五冶集团川北(南充)建设有限公司,项目名称：南充医学科学产业园,送货车型13米,装货前联系收货人核实到场规格</v>
      </c>
      <c r="M937" s="91">
        <v>45727</v>
      </c>
      <c r="O937" s="62">
        <f ca="1" t="shared" si="30"/>
        <v>0</v>
      </c>
      <c r="P937" s="62">
        <f ca="1" t="shared" si="31"/>
        <v>233</v>
      </c>
      <c r="Q937" s="26" t="str">
        <f>VLOOKUP(B937,辅助信息!E:M,9,FALSE)</f>
        <v>ZTWM-CDGS-XS-2024-0248-五冶钢构-南充市医学院项目</v>
      </c>
      <c r="R937" s="26"/>
    </row>
    <row r="938" hidden="1" spans="2:18">
      <c r="B938" s="40" t="s">
        <v>20</v>
      </c>
      <c r="C938" s="70">
        <v>45728</v>
      </c>
      <c r="D938" s="40" t="str">
        <f>VLOOKUP(B938,辅助信息!E:K,7,FALSE)</f>
        <v>JWDDCD2025051000019</v>
      </c>
      <c r="E938" s="40" t="str">
        <f>VLOOKUP(F938,辅助信息!A:B,2,FALSE)</f>
        <v>盘螺</v>
      </c>
      <c r="F938" s="40" t="s">
        <v>40</v>
      </c>
      <c r="G938" s="36">
        <v>4</v>
      </c>
      <c r="H938" s="87">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8"/>
      <c r="M938" s="91">
        <v>45727</v>
      </c>
      <c r="O938" s="62">
        <f ca="1" t="shared" si="30"/>
        <v>0</v>
      </c>
      <c r="P938" s="62">
        <f ca="1" t="shared" si="31"/>
        <v>233</v>
      </c>
      <c r="Q938" s="26" t="str">
        <f>VLOOKUP(B938,辅助信息!E:M,9,FALSE)</f>
        <v>ZTWM-CDGS-XS-2024-0248-五冶钢构-南充市医学院项目</v>
      </c>
      <c r="R938" s="26"/>
    </row>
    <row r="939" hidden="1" spans="2:18">
      <c r="B939" s="40" t="s">
        <v>20</v>
      </c>
      <c r="C939" s="70">
        <v>45728</v>
      </c>
      <c r="D939" s="40" t="str">
        <f>VLOOKUP(B939,辅助信息!E:K,7,FALSE)</f>
        <v>JWDDCD2025051000019</v>
      </c>
      <c r="E939" s="40" t="str">
        <f>VLOOKUP(F939,辅助信息!A:B,2,FALSE)</f>
        <v>盘螺</v>
      </c>
      <c r="F939" s="40" t="s">
        <v>41</v>
      </c>
      <c r="G939" s="36">
        <v>6</v>
      </c>
      <c r="H939" s="87">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8"/>
      <c r="M939" s="91">
        <v>45727</v>
      </c>
      <c r="O939" s="62">
        <f ca="1" t="shared" si="30"/>
        <v>0</v>
      </c>
      <c r="P939" s="62">
        <f ca="1" t="shared" si="31"/>
        <v>233</v>
      </c>
      <c r="Q939" s="26" t="str">
        <f>VLOOKUP(B939,辅助信息!E:M,9,FALSE)</f>
        <v>ZTWM-CDGS-XS-2024-0248-五冶钢构-南充市医学院项目</v>
      </c>
      <c r="R939" s="26"/>
    </row>
    <row r="940" hidden="1" spans="2:18">
      <c r="B940" s="40" t="s">
        <v>20</v>
      </c>
      <c r="C940" s="70">
        <v>45728</v>
      </c>
      <c r="D940" s="40" t="str">
        <f>VLOOKUP(B940,辅助信息!E:K,7,FALSE)</f>
        <v>JWDDCD2025051000019</v>
      </c>
      <c r="E940" s="40" t="str">
        <f>VLOOKUP(F940,辅助信息!A:B,2,FALSE)</f>
        <v>盘螺</v>
      </c>
      <c r="F940" s="40" t="s">
        <v>26</v>
      </c>
      <c r="G940" s="36">
        <v>9</v>
      </c>
      <c r="H940" s="87">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8"/>
      <c r="M940" s="91">
        <v>45727</v>
      </c>
      <c r="O940" s="62">
        <f ca="1" t="shared" si="30"/>
        <v>0</v>
      </c>
      <c r="P940" s="62">
        <f ca="1" t="shared" si="31"/>
        <v>233</v>
      </c>
      <c r="Q940" s="26" t="str">
        <f>VLOOKUP(B940,辅助信息!E:M,9,FALSE)</f>
        <v>ZTWM-CDGS-XS-2024-0248-五冶钢构-南充市医学院项目</v>
      </c>
      <c r="R940" s="26"/>
    </row>
    <row r="941" hidden="1" spans="2:18">
      <c r="B941" s="40" t="s">
        <v>20</v>
      </c>
      <c r="C941" s="70">
        <v>45728</v>
      </c>
      <c r="D941" s="40" t="str">
        <f>VLOOKUP(B941,辅助信息!E:K,7,FALSE)</f>
        <v>JWDDCD2025051000019</v>
      </c>
      <c r="E941" s="40" t="str">
        <f>VLOOKUP(F941,辅助信息!A:B,2,FALSE)</f>
        <v>螺纹钢</v>
      </c>
      <c r="F941" s="40" t="s">
        <v>46</v>
      </c>
      <c r="G941" s="36">
        <v>8</v>
      </c>
      <c r="H941" s="87">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6"/>
      <c r="M941" s="91">
        <v>45727</v>
      </c>
      <c r="O941" s="62">
        <f ca="1" t="shared" si="30"/>
        <v>0</v>
      </c>
      <c r="P941" s="62">
        <f ca="1" t="shared" si="31"/>
        <v>233</v>
      </c>
      <c r="Q941" s="26" t="str">
        <f>VLOOKUP(B941,辅助信息!E:M,9,FALSE)</f>
        <v>ZTWM-CDGS-XS-2024-0248-五冶钢构-南充市医学院项目</v>
      </c>
      <c r="R941" s="26"/>
    </row>
    <row r="942" hidden="1" spans="2:18">
      <c r="B942" s="40" t="s">
        <v>74</v>
      </c>
      <c r="C942" s="70">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7" t="e">
        <f>VLOOKUP(B943,辅助信息!E:J,6,FALSE)</f>
        <v>#N/A</v>
      </c>
      <c r="M942" s="91">
        <v>45728</v>
      </c>
      <c r="O942" s="62">
        <f ca="1" t="shared" si="30"/>
        <v>0</v>
      </c>
      <c r="P942" s="62">
        <f ca="1" t="shared" si="31"/>
        <v>232</v>
      </c>
      <c r="Q942" s="26" t="e">
        <f>VLOOKUP(B942,辅助信息!E:M,9,FALSE)</f>
        <v>#N/A</v>
      </c>
      <c r="R942" s="26"/>
    </row>
    <row r="943" hidden="1" spans="2:18">
      <c r="B943" s="40" t="s">
        <v>74</v>
      </c>
      <c r="C943" s="70">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8"/>
      <c r="M943" s="91">
        <v>45728</v>
      </c>
      <c r="O943" s="62">
        <f ca="1" t="shared" si="30"/>
        <v>0</v>
      </c>
      <c r="P943" s="62">
        <f ca="1" t="shared" si="31"/>
        <v>232</v>
      </c>
      <c r="Q943" s="26" t="e">
        <f>VLOOKUP(B943,辅助信息!E:M,9,FALSE)</f>
        <v>#N/A</v>
      </c>
      <c r="R943" s="26"/>
    </row>
    <row r="944" hidden="1" spans="2:18">
      <c r="B944" s="40" t="s">
        <v>74</v>
      </c>
      <c r="C944" s="70">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8"/>
      <c r="M944" s="91">
        <v>45728</v>
      </c>
      <c r="O944" s="62">
        <f ca="1" t="shared" si="30"/>
        <v>0</v>
      </c>
      <c r="P944" s="62">
        <f ca="1" t="shared" si="31"/>
        <v>232</v>
      </c>
      <c r="Q944" s="26" t="e">
        <f>VLOOKUP(B944,辅助信息!E:M,9,FALSE)</f>
        <v>#N/A</v>
      </c>
      <c r="R944" s="26"/>
    </row>
    <row r="945" hidden="1" spans="2:18">
      <c r="B945" s="40" t="s">
        <v>74</v>
      </c>
      <c r="C945" s="70">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8"/>
      <c r="M945" s="91">
        <v>45728</v>
      </c>
      <c r="O945" s="62">
        <f ca="1" t="shared" si="30"/>
        <v>0</v>
      </c>
      <c r="P945" s="62">
        <f ca="1" t="shared" si="31"/>
        <v>232</v>
      </c>
      <c r="Q945" s="26" t="e">
        <f>VLOOKUP(B945,辅助信息!E:M,9,FALSE)</f>
        <v>#N/A</v>
      </c>
      <c r="R945" s="26"/>
    </row>
    <row r="946" hidden="1" spans="2:18">
      <c r="B946" s="40" t="s">
        <v>74</v>
      </c>
      <c r="C946" s="70">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8"/>
      <c r="M946" s="91">
        <v>45728</v>
      </c>
      <c r="O946" s="62">
        <f ca="1" t="shared" si="30"/>
        <v>0</v>
      </c>
      <c r="P946" s="62">
        <f ca="1" t="shared" si="31"/>
        <v>232</v>
      </c>
      <c r="Q946" s="26" t="e">
        <f>VLOOKUP(B946,辅助信息!E:M,9,FALSE)</f>
        <v>#N/A</v>
      </c>
      <c r="R946" s="26"/>
    </row>
    <row r="947" hidden="1" spans="2:18">
      <c r="B947" s="40" t="s">
        <v>74</v>
      </c>
      <c r="C947" s="70">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6"/>
      <c r="M947" s="91">
        <v>45728</v>
      </c>
      <c r="O947" s="62">
        <f ca="1" t="shared" si="30"/>
        <v>0</v>
      </c>
      <c r="P947" s="62">
        <f ca="1" t="shared" si="31"/>
        <v>232</v>
      </c>
      <c r="Q947" s="26" t="e">
        <f>VLOOKUP(B947,辅助信息!E:M,9,FALSE)</f>
        <v>#N/A</v>
      </c>
      <c r="R947" s="26"/>
    </row>
    <row r="948" hidden="1" spans="2:18">
      <c r="B948" s="40" t="s">
        <v>68</v>
      </c>
      <c r="C948" s="70">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7" t="str">
        <f>VLOOKUP(B948,辅助信息!E:J,6,FALSE)</f>
        <v>控制炉批号！多了现场不收！,优先安排达钢,提前联系到场规格及数量</v>
      </c>
      <c r="M948" s="91">
        <v>45726</v>
      </c>
      <c r="O948" s="62">
        <f ca="1" t="shared" si="30"/>
        <v>0</v>
      </c>
      <c r="P948" s="62">
        <f ca="1" t="shared" si="31"/>
        <v>234</v>
      </c>
      <c r="Q948" s="26" t="str">
        <f>VLOOKUP(B948,辅助信息!E:M,9,FALSE)</f>
        <v>ZTWM-CDGS-XS-2024-0134-商投建工达州中医药科技成果示范园项目</v>
      </c>
      <c r="R948" s="26"/>
    </row>
    <row r="949" hidden="1" spans="2:18">
      <c r="B949" s="40" t="s">
        <v>68</v>
      </c>
      <c r="C949" s="70">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8"/>
      <c r="M949" s="91">
        <v>45726</v>
      </c>
      <c r="O949" s="62">
        <f ca="1" t="shared" si="30"/>
        <v>0</v>
      </c>
      <c r="P949" s="62">
        <f ca="1" t="shared" si="31"/>
        <v>234</v>
      </c>
      <c r="Q949" s="26" t="str">
        <f>VLOOKUP(B949,辅助信息!E:M,9,FALSE)</f>
        <v>ZTWM-CDGS-XS-2024-0134-商投建工达州中医药科技成果示范园项目</v>
      </c>
      <c r="R949" s="26"/>
    </row>
    <row r="950" hidden="1" spans="2:18">
      <c r="B950" s="40" t="s">
        <v>68</v>
      </c>
      <c r="C950" s="70">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6"/>
      <c r="M950" s="91">
        <v>45726</v>
      </c>
      <c r="O950" s="62">
        <f ca="1" t="shared" si="30"/>
        <v>0</v>
      </c>
      <c r="P950" s="62">
        <f ca="1" t="shared" si="31"/>
        <v>234</v>
      </c>
      <c r="Q950" s="26" t="str">
        <f>VLOOKUP(B950,辅助信息!E:M,9,FALSE)</f>
        <v>ZTWM-CDGS-XS-2024-0134-商投建工达州中医药科技成果示范园项目</v>
      </c>
      <c r="R950" s="26"/>
    </row>
    <row r="951" hidden="1" spans="2:18">
      <c r="B951" s="40" t="s">
        <v>69</v>
      </c>
      <c r="C951" s="70">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7" t="str">
        <f>VLOOKUP(B951,辅助信息!E:J,6,FALSE)</f>
        <v>控制炉批号！多了现场不收！,优先安排达钢,提前联系到场规格及数量</v>
      </c>
      <c r="M951" s="91">
        <v>45731</v>
      </c>
      <c r="O951" s="62">
        <f ca="1" t="shared" si="30"/>
        <v>0</v>
      </c>
      <c r="P951" s="62">
        <f ca="1" t="shared" si="31"/>
        <v>229</v>
      </c>
      <c r="Q951" s="26" t="str">
        <f>VLOOKUP(B951,辅助信息!E:M,9,FALSE)</f>
        <v>ZTWM-CDGS-XS-2024-0134-商投建工达州中医药科技成果示范园项目</v>
      </c>
      <c r="R951" s="26"/>
    </row>
    <row r="952" hidden="1" spans="2:18">
      <c r="B952" s="40" t="s">
        <v>69</v>
      </c>
      <c r="C952" s="70">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8"/>
      <c r="M952" s="91">
        <v>45731</v>
      </c>
      <c r="O952" s="62">
        <f ca="1" t="shared" si="30"/>
        <v>0</v>
      </c>
      <c r="P952" s="62">
        <f ca="1" t="shared" si="31"/>
        <v>229</v>
      </c>
      <c r="Q952" s="26" t="str">
        <f>VLOOKUP(B952,辅助信息!E:M,9,FALSE)</f>
        <v>ZTWM-CDGS-XS-2024-0134-商投建工达州中医药科技成果示范园项目</v>
      </c>
      <c r="R952" s="26"/>
    </row>
    <row r="953" hidden="1" spans="2:18">
      <c r="B953" s="40" t="s">
        <v>69</v>
      </c>
      <c r="C953" s="70">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8"/>
      <c r="M953" s="91">
        <v>45731</v>
      </c>
      <c r="O953" s="62">
        <f ca="1" t="shared" si="30"/>
        <v>0</v>
      </c>
      <c r="P953" s="62">
        <f ca="1" t="shared" si="31"/>
        <v>229</v>
      </c>
      <c r="Q953" s="26" t="str">
        <f>VLOOKUP(B953,辅助信息!E:M,9,FALSE)</f>
        <v>ZTWM-CDGS-XS-2024-0134-商投建工达州中医药科技成果示范园项目</v>
      </c>
      <c r="R953" s="26"/>
    </row>
    <row r="954" hidden="1" spans="2:18">
      <c r="B954" s="40" t="s">
        <v>69</v>
      </c>
      <c r="C954" s="70">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6"/>
      <c r="M954" s="91">
        <v>45731</v>
      </c>
      <c r="O954" s="62">
        <f ca="1" t="shared" si="30"/>
        <v>0</v>
      </c>
      <c r="P954" s="62">
        <f ca="1" t="shared" si="31"/>
        <v>229</v>
      </c>
      <c r="Q954" s="26" t="str">
        <f>VLOOKUP(B954,辅助信息!E:M,9,FALSE)</f>
        <v>ZTWM-CDGS-XS-2024-0134-商投建工达州中医药科技成果示范园项目</v>
      </c>
      <c r="R954" s="26"/>
    </row>
    <row r="955" hidden="1" spans="2:18">
      <c r="B955" s="40" t="s">
        <v>74</v>
      </c>
      <c r="C955" s="70">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7" t="e">
        <f>VLOOKUP(B955,辅助信息!E:J,6,FALSE)</f>
        <v>#N/A</v>
      </c>
      <c r="M955" s="91">
        <v>45728</v>
      </c>
      <c r="O955" s="62">
        <f ca="1" t="shared" si="30"/>
        <v>0</v>
      </c>
      <c r="P955" s="62">
        <f ca="1" t="shared" si="31"/>
        <v>232</v>
      </c>
      <c r="Q955" s="26" t="e">
        <f>VLOOKUP(B955,辅助信息!E:M,9,FALSE)</f>
        <v>#N/A</v>
      </c>
      <c r="R955" s="26"/>
    </row>
    <row r="956" hidden="1" spans="2:18">
      <c r="B956" s="40" t="s">
        <v>74</v>
      </c>
      <c r="C956" s="70">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8"/>
      <c r="M956" s="91">
        <v>45728</v>
      </c>
      <c r="O956" s="62">
        <f ca="1" t="shared" si="30"/>
        <v>0</v>
      </c>
      <c r="P956" s="62">
        <f ca="1" t="shared" si="31"/>
        <v>232</v>
      </c>
      <c r="Q956" s="26" t="e">
        <f>VLOOKUP(B956,辅助信息!E:M,9,FALSE)</f>
        <v>#N/A</v>
      </c>
      <c r="R956" s="26"/>
    </row>
    <row r="957" hidden="1" spans="2:18">
      <c r="B957" s="40" t="s">
        <v>74</v>
      </c>
      <c r="C957" s="70">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8"/>
      <c r="M957" s="91">
        <v>45728</v>
      </c>
      <c r="O957" s="62">
        <f ca="1" t="shared" si="30"/>
        <v>0</v>
      </c>
      <c r="P957" s="62">
        <f ca="1" t="shared" si="31"/>
        <v>232</v>
      </c>
      <c r="Q957" s="26" t="e">
        <f>VLOOKUP(B957,辅助信息!E:M,9,FALSE)</f>
        <v>#N/A</v>
      </c>
      <c r="R957" s="26"/>
    </row>
    <row r="958" hidden="1" spans="2:18">
      <c r="B958" s="40" t="s">
        <v>74</v>
      </c>
      <c r="C958" s="70">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8"/>
      <c r="M958" s="91">
        <v>45728</v>
      </c>
      <c r="O958" s="62">
        <f ca="1" t="shared" si="30"/>
        <v>0</v>
      </c>
      <c r="P958" s="62">
        <f ca="1" t="shared" si="31"/>
        <v>232</v>
      </c>
      <c r="Q958" s="26" t="e">
        <f>VLOOKUP(B958,辅助信息!E:M,9,FALSE)</f>
        <v>#N/A</v>
      </c>
      <c r="R958" s="26"/>
    </row>
    <row r="959" hidden="1" spans="2:18">
      <c r="B959" s="40" t="s">
        <v>74</v>
      </c>
      <c r="C959" s="70">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8"/>
      <c r="M959" s="91">
        <v>45728</v>
      </c>
      <c r="O959" s="62">
        <f ca="1" t="shared" si="30"/>
        <v>0</v>
      </c>
      <c r="P959" s="62">
        <f ca="1" t="shared" si="31"/>
        <v>232</v>
      </c>
      <c r="Q959" s="26" t="e">
        <f>VLOOKUP(B959,辅助信息!E:M,9,FALSE)</f>
        <v>#N/A</v>
      </c>
      <c r="R959" s="26"/>
    </row>
    <row r="960" hidden="1" spans="2:18">
      <c r="B960" s="40" t="s">
        <v>74</v>
      </c>
      <c r="C960" s="70">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6"/>
      <c r="M960" s="91">
        <v>45728</v>
      </c>
      <c r="O960" s="62">
        <f ca="1" t="shared" si="30"/>
        <v>0</v>
      </c>
      <c r="P960" s="62">
        <f ca="1" t="shared" si="31"/>
        <v>232</v>
      </c>
      <c r="Q960" s="26" t="e">
        <f>VLOOKUP(B960,辅助信息!E:M,9,FALSE)</f>
        <v>#N/A</v>
      </c>
      <c r="R960" s="26"/>
    </row>
    <row r="961" hidden="1" spans="2:18">
      <c r="B961" s="40" t="s">
        <v>68</v>
      </c>
      <c r="C961" s="70">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7" t="str">
        <f>VLOOKUP(B961,辅助信息!E:J,6,FALSE)</f>
        <v>控制炉批号！多了现场不收！,优先安排达钢,提前联系到场规格及数量</v>
      </c>
      <c r="M961" s="91">
        <v>45726</v>
      </c>
      <c r="O961" s="62">
        <f ca="1" t="shared" si="30"/>
        <v>0</v>
      </c>
      <c r="P961" s="62">
        <f ca="1" t="shared" si="31"/>
        <v>234</v>
      </c>
      <c r="Q961" s="26" t="str">
        <f>VLOOKUP(B961,辅助信息!E:M,9,FALSE)</f>
        <v>ZTWM-CDGS-XS-2024-0134-商投建工达州中医药科技成果示范园项目</v>
      </c>
      <c r="R961" s="26"/>
    </row>
    <row r="962" hidden="1" spans="2:18">
      <c r="B962" s="40" t="s">
        <v>68</v>
      </c>
      <c r="C962" s="70">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8"/>
      <c r="M962" s="91">
        <v>45726</v>
      </c>
      <c r="O962" s="62">
        <f ca="1" t="shared" si="30"/>
        <v>0</v>
      </c>
      <c r="P962" s="62">
        <f ca="1" t="shared" si="31"/>
        <v>234</v>
      </c>
      <c r="Q962" s="26" t="str">
        <f>VLOOKUP(B962,辅助信息!E:M,9,FALSE)</f>
        <v>ZTWM-CDGS-XS-2024-0134-商投建工达州中医药科技成果示范园项目</v>
      </c>
      <c r="R962" s="26"/>
    </row>
    <row r="963" hidden="1" spans="2:18">
      <c r="B963" s="40" t="s">
        <v>68</v>
      </c>
      <c r="C963" s="70">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6"/>
      <c r="M963" s="91">
        <v>45726</v>
      </c>
      <c r="O963" s="62">
        <f ca="1" t="shared" si="30"/>
        <v>0</v>
      </c>
      <c r="P963" s="62">
        <f ca="1" t="shared" si="31"/>
        <v>234</v>
      </c>
      <c r="Q963" s="26" t="str">
        <f>VLOOKUP(B963,辅助信息!E:M,9,FALSE)</f>
        <v>ZTWM-CDGS-XS-2024-0134-商投建工达州中医药科技成果示范园项目</v>
      </c>
      <c r="R963" s="26"/>
    </row>
    <row r="964" hidden="1" spans="2:18">
      <c r="B964" s="40" t="s">
        <v>69</v>
      </c>
      <c r="C964" s="70">
        <v>45732</v>
      </c>
      <c r="D964" s="40" t="str">
        <f>VLOOKUP(B964,辅助信息!E:K,7,FALSE)</f>
        <v>JWDDCD2025052800131</v>
      </c>
      <c r="E964" s="40" t="str">
        <f>VLOOKUP(F964,辅助信息!A:B,2,FALSE)</f>
        <v>螺纹钢</v>
      </c>
      <c r="F964" s="40" t="s">
        <v>58</v>
      </c>
      <c r="G964" s="36">
        <v>24</v>
      </c>
      <c r="H964" s="87">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7" t="str">
        <f>VLOOKUP(B967,辅助信息!E:J,6,FALSE)</f>
        <v>控制炉批号！多了现场不收！,优先安排达钢,提前联系到场规格及数量</v>
      </c>
      <c r="M964" s="91">
        <v>45731</v>
      </c>
      <c r="O964" s="62">
        <f ca="1" t="shared" si="30"/>
        <v>0</v>
      </c>
      <c r="P964" s="62">
        <f ca="1" t="shared" si="31"/>
        <v>229</v>
      </c>
      <c r="Q964" s="26" t="str">
        <f>VLOOKUP(B964,辅助信息!E:M,9,FALSE)</f>
        <v>ZTWM-CDGS-XS-2024-0134-商投建工达州中医药科技成果示范园项目</v>
      </c>
      <c r="R964" s="26"/>
    </row>
    <row r="965" hidden="1" spans="2:18">
      <c r="B965" s="40" t="s">
        <v>69</v>
      </c>
      <c r="C965" s="70">
        <v>45732</v>
      </c>
      <c r="D965" s="40" t="str">
        <f>VLOOKUP(B965,辅助信息!E:K,7,FALSE)</f>
        <v>JWDDCD2025052800131</v>
      </c>
      <c r="E965" s="40" t="str">
        <f>VLOOKUP(F965,辅助信息!A:B,2,FALSE)</f>
        <v>螺纹钢</v>
      </c>
      <c r="F965" s="40" t="s">
        <v>22</v>
      </c>
      <c r="G965" s="36">
        <v>12</v>
      </c>
      <c r="H965" s="87">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8"/>
      <c r="M965" s="91">
        <v>45731</v>
      </c>
      <c r="O965" s="62">
        <f ca="1" t="shared" si="30"/>
        <v>0</v>
      </c>
      <c r="P965" s="62">
        <f ca="1" t="shared" si="31"/>
        <v>229</v>
      </c>
      <c r="Q965" s="26" t="str">
        <f>VLOOKUP(B965,辅助信息!E:M,9,FALSE)</f>
        <v>ZTWM-CDGS-XS-2024-0134-商投建工达州中医药科技成果示范园项目</v>
      </c>
      <c r="R965" s="26"/>
    </row>
    <row r="966" hidden="1" spans="2:18">
      <c r="B966" s="40" t="s">
        <v>69</v>
      </c>
      <c r="C966" s="70">
        <v>45732</v>
      </c>
      <c r="D966" s="40" t="str">
        <f>VLOOKUP(B966,辅助信息!E:K,7,FALSE)</f>
        <v>JWDDCD2025052800131</v>
      </c>
      <c r="E966" s="40" t="str">
        <f>VLOOKUP(F966,辅助信息!A:B,2,FALSE)</f>
        <v>盘螺</v>
      </c>
      <c r="F966" s="40" t="s">
        <v>40</v>
      </c>
      <c r="G966" s="36">
        <v>60</v>
      </c>
      <c r="H966" s="87">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8"/>
      <c r="M966" s="91">
        <v>45731</v>
      </c>
      <c r="O966" s="62">
        <f ca="1" t="shared" si="30"/>
        <v>0</v>
      </c>
      <c r="P966" s="62">
        <f ca="1" t="shared" si="31"/>
        <v>229</v>
      </c>
      <c r="Q966" s="26" t="str">
        <f>VLOOKUP(B966,辅助信息!E:M,9,FALSE)</f>
        <v>ZTWM-CDGS-XS-2024-0134-商投建工达州中医药科技成果示范园项目</v>
      </c>
      <c r="R966" s="26"/>
    </row>
    <row r="967" hidden="1" spans="2:18">
      <c r="B967" s="40" t="s">
        <v>69</v>
      </c>
      <c r="C967" s="70">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6"/>
      <c r="M967" s="104">
        <v>45731</v>
      </c>
      <c r="N967" s="43"/>
      <c r="O967" s="43">
        <f ca="1" t="shared" si="30"/>
        <v>0</v>
      </c>
      <c r="P967" s="43">
        <f ca="1" t="shared" si="31"/>
        <v>229</v>
      </c>
      <c r="Q967" s="40" t="str">
        <f>VLOOKUP(B967,辅助信息!E:M,9,FALSE)</f>
        <v>ZTWM-CDGS-XS-2024-0134-商投建工达州中医药科技成果示范园项目</v>
      </c>
      <c r="R967" s="26"/>
    </row>
    <row r="968" hidden="1" spans="2:18">
      <c r="B968" s="40" t="s">
        <v>44</v>
      </c>
      <c r="C968" s="70">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6" t="str">
        <f>VLOOKUP(B968,辅助信息!E:J,6,FALSE)</f>
        <v>对方卸车</v>
      </c>
      <c r="M968" s="104">
        <v>45733</v>
      </c>
      <c r="N968" s="43"/>
      <c r="O968" s="43">
        <f ca="1" t="shared" si="30"/>
        <v>0</v>
      </c>
      <c r="P968" s="43">
        <f ca="1" t="shared" si="31"/>
        <v>227</v>
      </c>
      <c r="Q968" s="40" t="str">
        <f>VLOOKUP(B968,辅助信息!E:M,9,FALSE)</f>
        <v>ZTWM-CDGS-XS-2024-0189-华西集采-酒城南项目</v>
      </c>
      <c r="R968" s="26"/>
    </row>
    <row r="969" hidden="1" spans="2:18">
      <c r="B969" s="40" t="s">
        <v>64</v>
      </c>
      <c r="C969" s="70">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7" t="e">
        <f>VLOOKUP(B969,辅助信息!E:J,6,FALSE)</f>
        <v>#N/A</v>
      </c>
      <c r="M969" s="104">
        <v>45733</v>
      </c>
      <c r="N969" s="43"/>
      <c r="O969" s="43">
        <f ca="1" t="shared" si="30"/>
        <v>0</v>
      </c>
      <c r="P969" s="43">
        <f ca="1" t="shared" si="31"/>
        <v>227</v>
      </c>
      <c r="Q969" s="40" t="e">
        <f>VLOOKUP(B969,辅助信息!E:M,9,FALSE)</f>
        <v>#N/A</v>
      </c>
      <c r="R969" s="26"/>
    </row>
    <row r="970" hidden="1" spans="2:18">
      <c r="B970" s="40" t="s">
        <v>64</v>
      </c>
      <c r="C970" s="70">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8"/>
      <c r="M970" s="104">
        <v>45733</v>
      </c>
      <c r="N970" s="43"/>
      <c r="O970" s="43">
        <f ca="1" t="shared" si="30"/>
        <v>0</v>
      </c>
      <c r="P970" s="43">
        <f ca="1" t="shared" si="31"/>
        <v>227</v>
      </c>
      <c r="Q970" s="40" t="e">
        <f>VLOOKUP(B970,辅助信息!E:M,9,FALSE)</f>
        <v>#N/A</v>
      </c>
      <c r="R970" s="26"/>
    </row>
    <row r="971" hidden="1" spans="2:18">
      <c r="B971" s="40" t="s">
        <v>64</v>
      </c>
      <c r="C971" s="70">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6"/>
      <c r="M971" s="104">
        <v>45733</v>
      </c>
      <c r="N971" s="43"/>
      <c r="O971" s="43">
        <f ca="1" t="shared" si="30"/>
        <v>0</v>
      </c>
      <c r="P971" s="43">
        <f ca="1" t="shared" si="31"/>
        <v>227</v>
      </c>
      <c r="Q971" s="40" t="e">
        <f>VLOOKUP(B971,辅助信息!E:M,9,FALSE)</f>
        <v>#N/A</v>
      </c>
      <c r="R971" s="26"/>
    </row>
    <row r="972" hidden="1" spans="2:18">
      <c r="B972" s="40" t="s">
        <v>74</v>
      </c>
      <c r="C972" s="70">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7" t="e">
        <f>VLOOKUP(B972,辅助信息!E:J,6,FALSE)</f>
        <v>#N/A</v>
      </c>
      <c r="M972" s="104">
        <v>45738</v>
      </c>
      <c r="N972" s="43"/>
      <c r="O972" s="43">
        <f ca="1" t="shared" si="30"/>
        <v>0</v>
      </c>
      <c r="P972" s="43">
        <f ca="1" t="shared" si="31"/>
        <v>222</v>
      </c>
      <c r="Q972" s="40" t="e">
        <f>VLOOKUP(B972,辅助信息!E:M,9,FALSE)</f>
        <v>#N/A</v>
      </c>
      <c r="R972" s="26"/>
    </row>
    <row r="973" hidden="1" spans="2:18">
      <c r="B973" s="40" t="s">
        <v>74</v>
      </c>
      <c r="C973" s="70">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8"/>
      <c r="M973" s="104">
        <v>45738</v>
      </c>
      <c r="N973" s="43"/>
      <c r="O973" s="43">
        <f ca="1" t="shared" si="30"/>
        <v>0</v>
      </c>
      <c r="P973" s="43">
        <f ca="1" t="shared" si="31"/>
        <v>222</v>
      </c>
      <c r="Q973" s="40" t="e">
        <f>VLOOKUP(B973,辅助信息!E:M,9,FALSE)</f>
        <v>#N/A</v>
      </c>
      <c r="R973" s="26"/>
    </row>
    <row r="974" hidden="1" spans="2:18">
      <c r="B974" s="40" t="s">
        <v>74</v>
      </c>
      <c r="C974" s="70">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8"/>
      <c r="M974" s="104">
        <v>45738</v>
      </c>
      <c r="N974" s="43"/>
      <c r="O974" s="43">
        <f ca="1" t="shared" si="30"/>
        <v>0</v>
      </c>
      <c r="P974" s="43">
        <f ca="1" t="shared" si="31"/>
        <v>222</v>
      </c>
      <c r="Q974" s="40" t="e">
        <f>VLOOKUP(B974,辅助信息!E:M,9,FALSE)</f>
        <v>#N/A</v>
      </c>
      <c r="R974" s="26"/>
    </row>
    <row r="975" hidden="1" spans="2:18">
      <c r="B975" s="40" t="s">
        <v>74</v>
      </c>
      <c r="C975" s="70">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6"/>
      <c r="M975" s="104">
        <v>45738</v>
      </c>
      <c r="N975" s="43"/>
      <c r="O975" s="43">
        <f ca="1" t="shared" si="30"/>
        <v>0</v>
      </c>
      <c r="P975" s="43">
        <f ca="1" t="shared" si="31"/>
        <v>222</v>
      </c>
      <c r="Q975" s="40" t="e">
        <f>VLOOKUP(B975,辅助信息!E:M,9,FALSE)</f>
        <v>#N/A</v>
      </c>
      <c r="R975" s="26"/>
    </row>
    <row r="976" hidden="1" spans="2:18">
      <c r="B976" s="40" t="s">
        <v>75</v>
      </c>
      <c r="C976" s="70">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7" t="e">
        <f>VLOOKUP(B976,辅助信息!E:J,6,FALSE)</f>
        <v>#N/A</v>
      </c>
      <c r="M976" s="104">
        <v>45733</v>
      </c>
      <c r="N976" s="43"/>
      <c r="O976" s="43">
        <f ca="1" t="shared" si="30"/>
        <v>0</v>
      </c>
      <c r="P976" s="43">
        <f ca="1" t="shared" si="31"/>
        <v>227</v>
      </c>
      <c r="Q976" s="40" t="e">
        <f>VLOOKUP(B976,辅助信息!E:M,9,FALSE)</f>
        <v>#N/A</v>
      </c>
      <c r="R976" s="26"/>
    </row>
    <row r="977" hidden="1" spans="2:18">
      <c r="B977" s="40" t="s">
        <v>75</v>
      </c>
      <c r="C977" s="70">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8"/>
      <c r="M977" s="104">
        <v>45733</v>
      </c>
      <c r="N977" s="43"/>
      <c r="O977" s="43">
        <f ca="1" t="shared" si="30"/>
        <v>0</v>
      </c>
      <c r="P977" s="43">
        <f ca="1" t="shared" si="31"/>
        <v>227</v>
      </c>
      <c r="Q977" s="40" t="e">
        <f>VLOOKUP(B977,辅助信息!E:M,9,FALSE)</f>
        <v>#N/A</v>
      </c>
      <c r="R977" s="26"/>
    </row>
    <row r="978" hidden="1" spans="2:18">
      <c r="B978" s="40" t="s">
        <v>75</v>
      </c>
      <c r="C978" s="70">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8"/>
      <c r="M978" s="104">
        <v>45733</v>
      </c>
      <c r="N978" s="43"/>
      <c r="O978" s="43">
        <f ca="1" t="shared" si="30"/>
        <v>0</v>
      </c>
      <c r="P978" s="43">
        <f ca="1" t="shared" si="31"/>
        <v>227</v>
      </c>
      <c r="Q978" s="40" t="e">
        <f>VLOOKUP(B978,辅助信息!E:M,9,FALSE)</f>
        <v>#N/A</v>
      </c>
      <c r="R978" s="26"/>
    </row>
    <row r="979" hidden="1" spans="2:18">
      <c r="B979" s="40" t="s">
        <v>75</v>
      </c>
      <c r="C979" s="70">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8"/>
      <c r="M979" s="104">
        <v>45733</v>
      </c>
      <c r="N979" s="43"/>
      <c r="O979" s="43">
        <f ca="1" t="shared" si="30"/>
        <v>0</v>
      </c>
      <c r="P979" s="43">
        <f ca="1" t="shared" si="31"/>
        <v>227</v>
      </c>
      <c r="Q979" s="40" t="e">
        <f>VLOOKUP(B979,辅助信息!E:M,9,FALSE)</f>
        <v>#N/A</v>
      </c>
      <c r="R979" s="26"/>
    </row>
    <row r="980" hidden="1" spans="2:18">
      <c r="B980" s="40" t="s">
        <v>75</v>
      </c>
      <c r="C980" s="70">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6"/>
      <c r="M980" s="104">
        <v>45733</v>
      </c>
      <c r="N980" s="43"/>
      <c r="O980" s="43">
        <f ca="1" t="shared" si="30"/>
        <v>0</v>
      </c>
      <c r="P980" s="43">
        <f ca="1" t="shared" si="31"/>
        <v>227</v>
      </c>
      <c r="Q980" s="40" t="e">
        <f>VLOOKUP(B980,辅助信息!E:M,9,FALSE)</f>
        <v>#N/A</v>
      </c>
      <c r="R980" s="26"/>
    </row>
    <row r="981" hidden="1" spans="2:18">
      <c r="B981" s="40" t="s">
        <v>87</v>
      </c>
      <c r="C981" s="70">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7" t="e">
        <f>VLOOKUP(B981,辅助信息!E:J,6,FALSE)</f>
        <v>#N/A</v>
      </c>
      <c r="M981" s="104">
        <v>45733</v>
      </c>
      <c r="N981" s="43"/>
      <c r="O981" s="43">
        <f ca="1" t="shared" si="30"/>
        <v>0</v>
      </c>
      <c r="P981" s="43">
        <f ca="1" t="shared" si="31"/>
        <v>227</v>
      </c>
      <c r="Q981" s="40" t="e">
        <f>VLOOKUP(B981,辅助信息!E:M,9,FALSE)</f>
        <v>#N/A</v>
      </c>
      <c r="R981" s="26"/>
    </row>
    <row r="982" hidden="1" spans="2:18">
      <c r="B982" s="40" t="s">
        <v>87</v>
      </c>
      <c r="C982" s="70">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8"/>
      <c r="M982" s="104">
        <v>45733</v>
      </c>
      <c r="N982" s="43"/>
      <c r="O982" s="43">
        <f ca="1" t="shared" si="30"/>
        <v>0</v>
      </c>
      <c r="P982" s="43">
        <f ca="1" t="shared" si="31"/>
        <v>227</v>
      </c>
      <c r="Q982" s="40" t="e">
        <f>VLOOKUP(B982,辅助信息!E:M,9,FALSE)</f>
        <v>#N/A</v>
      </c>
      <c r="R982" s="26"/>
    </row>
    <row r="983" hidden="1" spans="2:18">
      <c r="B983" s="40" t="s">
        <v>87</v>
      </c>
      <c r="C983" s="70">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8"/>
      <c r="M983" s="104">
        <v>45733</v>
      </c>
      <c r="N983" s="43"/>
      <c r="O983" s="43">
        <f ca="1" t="shared" si="30"/>
        <v>0</v>
      </c>
      <c r="P983" s="43">
        <f ca="1" t="shared" si="31"/>
        <v>227</v>
      </c>
      <c r="Q983" s="40" t="e">
        <f>VLOOKUP(B983,辅助信息!E:M,9,FALSE)</f>
        <v>#N/A</v>
      </c>
      <c r="R983" s="26"/>
    </row>
    <row r="984" hidden="1" spans="2:18">
      <c r="B984" s="40" t="s">
        <v>87</v>
      </c>
      <c r="C984" s="70">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8"/>
      <c r="M984" s="104">
        <v>45733</v>
      </c>
      <c r="N984" s="43"/>
      <c r="O984" s="43">
        <f ca="1" t="shared" si="30"/>
        <v>0</v>
      </c>
      <c r="P984" s="43">
        <f ca="1" t="shared" si="31"/>
        <v>227</v>
      </c>
      <c r="Q984" s="40" t="e">
        <f>VLOOKUP(B984,辅助信息!E:M,9,FALSE)</f>
        <v>#N/A</v>
      </c>
      <c r="R984" s="26"/>
    </row>
    <row r="985" hidden="1" spans="2:18">
      <c r="B985" s="40" t="s">
        <v>87</v>
      </c>
      <c r="C985" s="70">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8"/>
      <c r="M985" s="104">
        <v>45733</v>
      </c>
      <c r="N985" s="43"/>
      <c r="O985" s="43">
        <f ca="1" t="shared" si="30"/>
        <v>0</v>
      </c>
      <c r="P985" s="43">
        <f ca="1" t="shared" si="31"/>
        <v>227</v>
      </c>
      <c r="Q985" s="40" t="e">
        <f>VLOOKUP(B985,辅助信息!E:M,9,FALSE)</f>
        <v>#N/A</v>
      </c>
      <c r="R985" s="26"/>
    </row>
    <row r="986" hidden="1" spans="2:18">
      <c r="B986" s="40" t="s">
        <v>87</v>
      </c>
      <c r="C986" s="70">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6"/>
      <c r="M986" s="104">
        <v>45733</v>
      </c>
      <c r="N986" s="43"/>
      <c r="O986" s="43">
        <f ca="1" t="shared" si="30"/>
        <v>0</v>
      </c>
      <c r="P986" s="43">
        <f ca="1" t="shared" si="31"/>
        <v>227</v>
      </c>
      <c r="Q986" s="40" t="e">
        <f>VLOOKUP(B986,辅助信息!E:M,9,FALSE)</f>
        <v>#N/A</v>
      </c>
      <c r="R986" s="26"/>
    </row>
    <row r="987" hidden="1" spans="2:18">
      <c r="B987" s="40" t="s">
        <v>108</v>
      </c>
      <c r="C987" s="70">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7" t="e">
        <f>VLOOKUP(B987,辅助信息!E:J,6,FALSE)</f>
        <v>#N/A</v>
      </c>
      <c r="M987" s="104">
        <v>45733</v>
      </c>
      <c r="N987" s="43"/>
      <c r="O987" s="43">
        <f ca="1" t="shared" si="30"/>
        <v>0</v>
      </c>
      <c r="P987" s="43">
        <f ca="1" t="shared" si="31"/>
        <v>227</v>
      </c>
      <c r="Q987" s="40" t="e">
        <f>VLOOKUP(B987,辅助信息!E:M,9,FALSE)</f>
        <v>#N/A</v>
      </c>
      <c r="R987" s="26"/>
    </row>
    <row r="988" hidden="1" spans="2:18">
      <c r="B988" s="40" t="s">
        <v>108</v>
      </c>
      <c r="C988" s="70">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8"/>
      <c r="M988" s="104">
        <v>45733</v>
      </c>
      <c r="N988" s="43"/>
      <c r="O988" s="43">
        <f ca="1" t="shared" si="30"/>
        <v>0</v>
      </c>
      <c r="P988" s="43">
        <f ca="1" t="shared" si="31"/>
        <v>227</v>
      </c>
      <c r="Q988" s="40" t="e">
        <f>VLOOKUP(B988,辅助信息!E:M,9,FALSE)</f>
        <v>#N/A</v>
      </c>
      <c r="R988" s="26"/>
    </row>
    <row r="989" hidden="1" spans="2:18">
      <c r="B989" s="40" t="s">
        <v>108</v>
      </c>
      <c r="C989" s="70">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8"/>
      <c r="M989" s="104">
        <v>45733</v>
      </c>
      <c r="N989" s="43"/>
      <c r="O989" s="43">
        <f ca="1" t="shared" si="30"/>
        <v>0</v>
      </c>
      <c r="P989" s="43">
        <f ca="1" t="shared" si="31"/>
        <v>227</v>
      </c>
      <c r="Q989" s="40" t="e">
        <f>VLOOKUP(B989,辅助信息!E:M,9,FALSE)</f>
        <v>#N/A</v>
      </c>
      <c r="R989" s="26"/>
    </row>
    <row r="990" hidden="1" spans="2:18">
      <c r="B990" s="40" t="s">
        <v>108</v>
      </c>
      <c r="C990" s="70">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6"/>
      <c r="M990" s="104">
        <v>45733</v>
      </c>
      <c r="N990" s="43"/>
      <c r="O990" s="43">
        <f ca="1" t="shared" si="30"/>
        <v>0</v>
      </c>
      <c r="P990" s="43">
        <f ca="1" t="shared" si="31"/>
        <v>227</v>
      </c>
      <c r="Q990" s="40" t="e">
        <f>VLOOKUP(B990,辅助信息!E:M,9,FALSE)</f>
        <v>#N/A</v>
      </c>
      <c r="R990" s="26"/>
    </row>
    <row r="991" hidden="1" spans="2:18">
      <c r="B991" s="40" t="s">
        <v>106</v>
      </c>
      <c r="C991" s="70">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7" t="str">
        <f>VLOOKUP(B991,辅助信息!E:J,6,FALSE)</f>
        <v>提前联系到场规格</v>
      </c>
      <c r="M991" s="104">
        <v>45733</v>
      </c>
      <c r="N991" s="43"/>
      <c r="O991" s="43">
        <f ca="1" t="shared" si="30"/>
        <v>0</v>
      </c>
      <c r="P991" s="43">
        <f ca="1" t="shared" si="31"/>
        <v>227</v>
      </c>
      <c r="Q991" s="40" t="str">
        <f>VLOOKUP(B991,辅助信息!E:M,9,FALSE)</f>
        <v>ZTWM-CDGS-XS-2024-0169-中冶西部钢构-宜宾市南溪区幸福路东路,高县月江镇建设项目</v>
      </c>
      <c r="R991" s="26"/>
    </row>
    <row r="992" hidden="1" spans="2:18">
      <c r="B992" s="40" t="s">
        <v>106</v>
      </c>
      <c r="C992" s="70">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8"/>
      <c r="M992" s="104">
        <v>45733</v>
      </c>
      <c r="N992" s="43"/>
      <c r="O992" s="43">
        <f ca="1" t="shared" si="30"/>
        <v>0</v>
      </c>
      <c r="P992" s="43">
        <f ca="1" t="shared" si="31"/>
        <v>227</v>
      </c>
      <c r="Q992" s="40" t="str">
        <f>VLOOKUP(B992,辅助信息!E:M,9,FALSE)</f>
        <v>ZTWM-CDGS-XS-2024-0169-中冶西部钢构-宜宾市南溪区幸福路东路,高县月江镇建设项目</v>
      </c>
      <c r="R992" s="26"/>
    </row>
    <row r="993" hidden="1" spans="2:18">
      <c r="B993" s="40" t="s">
        <v>106</v>
      </c>
      <c r="C993" s="70">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8"/>
      <c r="M993" s="104">
        <v>45733</v>
      </c>
      <c r="N993" s="43"/>
      <c r="O993" s="43">
        <f ca="1" t="shared" si="30"/>
        <v>0</v>
      </c>
      <c r="P993" s="43">
        <f ca="1" t="shared" si="31"/>
        <v>227</v>
      </c>
      <c r="Q993" s="40" t="str">
        <f>VLOOKUP(B993,辅助信息!E:M,9,FALSE)</f>
        <v>ZTWM-CDGS-XS-2024-0169-中冶西部钢构-宜宾市南溪区幸福路东路,高县月江镇建设项目</v>
      </c>
      <c r="R993" s="26"/>
    </row>
    <row r="994" hidden="1" spans="2:18">
      <c r="B994" s="40" t="s">
        <v>106</v>
      </c>
      <c r="C994" s="70">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6"/>
      <c r="M994" s="104">
        <v>45733</v>
      </c>
      <c r="N994" s="43"/>
      <c r="O994" s="43">
        <f ca="1" t="shared" ref="O994:O1000" si="32">IF(OR(M994="",N994&lt;&gt;""),"",MAX(M994-TODAY(),0))</f>
        <v>0</v>
      </c>
      <c r="P994" s="43">
        <f ca="1" t="shared" ref="P994:P1000" si="33">IF(M994="","",IF(N994&lt;&gt;"",MAX(N994-M994,0),IF(TODAY()&gt;M994,TODAY()-M994,0)))</f>
        <v>227</v>
      </c>
      <c r="Q994" s="40" t="str">
        <f>VLOOKUP(B994,辅助信息!E:M,9,FALSE)</f>
        <v>ZTWM-CDGS-XS-2024-0169-中冶西部钢构-宜宾市南溪区幸福路东路,高县月江镇建设项目</v>
      </c>
      <c r="R994" s="26"/>
    </row>
    <row r="995" ht="56.25" hidden="1" customHeight="1" spans="2:18">
      <c r="B995" s="40" t="s">
        <v>54</v>
      </c>
      <c r="C995" s="70">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6" t="e">
        <f>VLOOKUP(B995,辅助信息!E:J,6,FALSE)</f>
        <v>#N/A</v>
      </c>
      <c r="M995" s="104">
        <v>45734</v>
      </c>
      <c r="N995" s="43"/>
      <c r="O995" s="43">
        <f ca="1" t="shared" si="32"/>
        <v>0</v>
      </c>
      <c r="P995" s="43">
        <f ca="1" t="shared" si="33"/>
        <v>226</v>
      </c>
      <c r="Q995" s="40" t="e">
        <f>VLOOKUP(B995,辅助信息!E:M,9,FALSE)</f>
        <v>#N/A</v>
      </c>
      <c r="R995" s="26"/>
    </row>
    <row r="996" hidden="1" spans="2:18">
      <c r="B996" s="40" t="s">
        <v>69</v>
      </c>
      <c r="C996" s="70">
        <v>45740</v>
      </c>
      <c r="D996" s="40" t="str">
        <f>VLOOKUP(B996,辅助信息!E:K,7,FALSE)</f>
        <v>JWDDCD2025052800131</v>
      </c>
      <c r="E996" s="40" t="str">
        <f>VLOOKUP(F996,辅助信息!A:B,2,FALSE)</f>
        <v>盘螺</v>
      </c>
      <c r="F996" s="40" t="s">
        <v>40</v>
      </c>
      <c r="G996" s="36">
        <v>30</v>
      </c>
      <c r="H996" s="103">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89" t="str">
        <f>VLOOKUP(B996,辅助信息!E:J,6,FALSE)</f>
        <v>控制炉批号！多了现场不收！,优先安排达钢,提前联系到场规格及数量</v>
      </c>
      <c r="M996" s="104"/>
      <c r="N996" s="43"/>
      <c r="O996" s="43" t="str">
        <f ca="1" t="shared" si="32"/>
        <v/>
      </c>
      <c r="P996" s="43" t="str">
        <f ca="1" t="shared" si="33"/>
        <v/>
      </c>
      <c r="Q996" s="40" t="str">
        <f>VLOOKUP(B996,辅助信息!E:M,9,FALSE)</f>
        <v>ZTWM-CDGS-XS-2024-0134-商投建工达州中医药科技成果示范园项目</v>
      </c>
      <c r="R996" s="26"/>
    </row>
    <row r="997" hidden="1" spans="1:18">
      <c r="A997" s="77"/>
      <c r="B997" s="40" t="s">
        <v>69</v>
      </c>
      <c r="C997" s="70">
        <v>45740</v>
      </c>
      <c r="D997" s="40" t="str">
        <f>VLOOKUP(B997,辅助信息!E:K,7,FALSE)</f>
        <v>JWDDCD2025052800131</v>
      </c>
      <c r="E997" s="40" t="str">
        <f>VLOOKUP(F997,辅助信息!A:B,2,FALSE)</f>
        <v>螺纹钢</v>
      </c>
      <c r="F997" s="40" t="s">
        <v>33</v>
      </c>
      <c r="G997" s="36">
        <v>9</v>
      </c>
      <c r="H997" s="103">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8"/>
      <c r="M997" s="104">
        <v>45731</v>
      </c>
      <c r="N997" s="43"/>
      <c r="O997" s="43">
        <f ca="1" t="shared" si="32"/>
        <v>0</v>
      </c>
      <c r="P997" s="43">
        <f ca="1" t="shared" si="33"/>
        <v>229</v>
      </c>
      <c r="Q997" s="40" t="str">
        <f>VLOOKUP(B997,辅助信息!E:M,9,FALSE)</f>
        <v>ZTWM-CDGS-XS-2024-0134-商投建工达州中医药科技成果示范园项目</v>
      </c>
      <c r="R997" s="26"/>
    </row>
    <row r="998" hidden="1" spans="1:18">
      <c r="A998" s="77"/>
      <c r="B998" s="40" t="s">
        <v>75</v>
      </c>
      <c r="C998" s="70">
        <v>45740</v>
      </c>
      <c r="D998" s="40" t="e">
        <f>VLOOKUP(B998,辅助信息!E:K,7,FALSE)</f>
        <v>#N/A</v>
      </c>
      <c r="E998" s="40" t="str">
        <f>VLOOKUP(F998,辅助信息!A:B,2,FALSE)</f>
        <v>盘螺</v>
      </c>
      <c r="F998" s="40" t="s">
        <v>41</v>
      </c>
      <c r="G998" s="36">
        <v>2.5</v>
      </c>
      <c r="H998" s="103"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89" t="e">
        <f>VLOOKUP(B998,辅助信息!E:J,6,FALSE)</f>
        <v>#N/A</v>
      </c>
      <c r="M998" s="104">
        <v>45733</v>
      </c>
      <c r="N998" s="43"/>
      <c r="O998" s="43">
        <f ca="1" t="shared" si="32"/>
        <v>0</v>
      </c>
      <c r="P998" s="43">
        <f ca="1" t="shared" si="33"/>
        <v>227</v>
      </c>
      <c r="Q998" s="40" t="e">
        <f>VLOOKUP(B998,辅助信息!E:M,9,FALSE)</f>
        <v>#N/A</v>
      </c>
      <c r="R998" s="26"/>
    </row>
    <row r="999" hidden="1" spans="1:18">
      <c r="A999" s="77"/>
      <c r="B999" s="40" t="s">
        <v>75</v>
      </c>
      <c r="C999" s="70">
        <v>45740</v>
      </c>
      <c r="D999" s="40" t="e">
        <f>VLOOKUP(B999,辅助信息!E:K,7,FALSE)</f>
        <v>#N/A</v>
      </c>
      <c r="E999" s="40" t="str">
        <f>VLOOKUP(F999,辅助信息!A:B,2,FALSE)</f>
        <v>螺纹钢</v>
      </c>
      <c r="F999" s="40" t="s">
        <v>28</v>
      </c>
      <c r="G999" s="36">
        <v>9</v>
      </c>
      <c r="H999" s="103"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8"/>
      <c r="M999" s="104">
        <v>45733</v>
      </c>
      <c r="N999" s="43"/>
      <c r="O999" s="43">
        <f ca="1" t="shared" si="32"/>
        <v>0</v>
      </c>
      <c r="P999" s="43">
        <f ca="1" t="shared" si="33"/>
        <v>227</v>
      </c>
      <c r="Q999" s="40" t="e">
        <f>VLOOKUP(B999,辅助信息!E:M,9,FALSE)</f>
        <v>#N/A</v>
      </c>
      <c r="R999" s="26"/>
    </row>
    <row r="1000" ht="33.75" hidden="1" customHeight="1" spans="2:18">
      <c r="B1000" s="40" t="s">
        <v>68</v>
      </c>
      <c r="C1000" s="70">
        <v>45740</v>
      </c>
      <c r="D1000" s="40" t="str">
        <f>VLOOKUP(B1000,辅助信息!E:K,7,FALSE)</f>
        <v>JWDDCD2025052800131</v>
      </c>
      <c r="E1000" s="40" t="str">
        <f>VLOOKUP(F1000,辅助信息!A:B,2,FALSE)</f>
        <v>高线</v>
      </c>
      <c r="F1000" s="40" t="s">
        <v>51</v>
      </c>
      <c r="G1000" s="36">
        <v>3</v>
      </c>
      <c r="H1000" s="103"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7" t="str">
        <f>VLOOKUP(B1000,辅助信息!E:J,6,FALSE)</f>
        <v>控制炉批号！多了现场不收！,优先安排达钢,提前联系到场规格及数量</v>
      </c>
      <c r="M1000" s="105">
        <v>45736</v>
      </c>
      <c r="O1000" s="43">
        <f ca="1" t="shared" si="32"/>
        <v>0</v>
      </c>
      <c r="P1000" s="43">
        <f ca="1" t="shared" si="33"/>
        <v>224</v>
      </c>
      <c r="Q1000" s="40" t="str">
        <f>VLOOKUP(B1000,辅助信息!E:M,9,FALSE)</f>
        <v>ZTWM-CDGS-XS-2024-0134-商投建工达州中医药科技成果示范园项目</v>
      </c>
      <c r="R1000" s="26"/>
    </row>
    <row r="1001" hidden="1" spans="2:18">
      <c r="B1001" s="40" t="s">
        <v>73</v>
      </c>
      <c r="C1001" s="70">
        <v>45740</v>
      </c>
      <c r="D1001" s="40" t="s">
        <v>118</v>
      </c>
      <c r="E1001" s="40" t="s">
        <v>119</v>
      </c>
      <c r="F1001" s="40" t="s">
        <v>49</v>
      </c>
      <c r="G1001" s="36">
        <v>10</v>
      </c>
      <c r="H1001" s="103">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7"/>
      <c r="M1001" s="105"/>
      <c r="O1001" s="43"/>
      <c r="P1001" s="43"/>
      <c r="Q1001" s="40"/>
      <c r="R1001" s="26"/>
    </row>
    <row r="1002" hidden="1" spans="2:18">
      <c r="B1002" s="40" t="s">
        <v>73</v>
      </c>
      <c r="C1002" s="70">
        <v>45740</v>
      </c>
      <c r="D1002" s="40" t="str">
        <f>VLOOKUP(B1002,辅助信息!E:K,7,FALSE)</f>
        <v>JWDDCD2025051000019</v>
      </c>
      <c r="E1002" s="40" t="str">
        <f>VLOOKUP(F1002,辅助信息!A:B,2,FALSE)</f>
        <v>盘螺</v>
      </c>
      <c r="F1002" s="40" t="s">
        <v>26</v>
      </c>
      <c r="G1002" s="36">
        <v>17</v>
      </c>
      <c r="H1002" s="103">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7" t="str">
        <f>VLOOKUP(B1002,辅助信息!E:J,6,FALSE)</f>
        <v>送货单：送货单位：南充思临新材料科技有限公司,收货单位：五冶集团川北(南充)建设有限公司,项目名称：南充医学科学产业园,送货车型13米,装货前联系收货人核实到场规格</v>
      </c>
      <c r="M1002" s="105">
        <v>45738</v>
      </c>
      <c r="O1002" s="43">
        <f ca="1" t="shared" ref="O1002:O1010" si="34">IF(OR(M1002="",N1002&lt;&gt;""),"",MAX(M1002-TODAY(),0))</f>
        <v>0</v>
      </c>
      <c r="P1002" s="43">
        <f ca="1" t="shared" ref="P1002:P1010" si="35">IF(M1002="","",IF(N1002&lt;&gt;"",MAX(N1002-M1002,0),IF(TODAY()&gt;M1002,TODAY()-M1002,0)))</f>
        <v>222</v>
      </c>
      <c r="Q1002" s="40" t="str">
        <f>VLOOKUP(B1002,辅助信息!E:M,9,FALSE)</f>
        <v>ZTWM-CDGS-XS-2024-0248-五冶钢构-南充市医学院项目</v>
      </c>
      <c r="R1002" s="26"/>
    </row>
    <row r="1003" hidden="1" spans="2:18">
      <c r="B1003" s="40" t="s">
        <v>73</v>
      </c>
      <c r="C1003" s="70">
        <v>45740</v>
      </c>
      <c r="D1003" s="40" t="str">
        <f>VLOOKUP(B1003,辅助信息!E:K,7,FALSE)</f>
        <v>JWDDCD2025051000019</v>
      </c>
      <c r="E1003" s="40" t="str">
        <f>VLOOKUP(F1003,辅助信息!A:B,2,FALSE)</f>
        <v>盘螺</v>
      </c>
      <c r="F1003" s="40" t="s">
        <v>40</v>
      </c>
      <c r="G1003" s="36">
        <v>8</v>
      </c>
      <c r="H1003" s="103">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6"/>
      <c r="M1003" s="105">
        <v>45738</v>
      </c>
      <c r="O1003" s="43">
        <f ca="1" t="shared" si="34"/>
        <v>0</v>
      </c>
      <c r="P1003" s="43">
        <f ca="1" t="shared" si="35"/>
        <v>222</v>
      </c>
      <c r="Q1003" s="40" t="str">
        <f>VLOOKUP(B1003,辅助信息!E:M,9,FALSE)</f>
        <v>ZTWM-CDGS-XS-2024-0248-五冶钢构-南充市医学院项目</v>
      </c>
      <c r="R1003" s="26"/>
    </row>
    <row r="1004" hidden="1" spans="2:18">
      <c r="B1004" s="40" t="s">
        <v>113</v>
      </c>
      <c r="C1004" s="70">
        <v>45740</v>
      </c>
      <c r="D1004" s="40" t="str">
        <f>VLOOKUP(B1004,辅助信息!E:K,7,FALSE)</f>
        <v>JWDDCD2025051000019</v>
      </c>
      <c r="E1004" s="40" t="str">
        <f>VLOOKUP(F1004,辅助信息!A:B,2,FALSE)</f>
        <v>螺纹钢</v>
      </c>
      <c r="F1004" s="40" t="s">
        <v>32</v>
      </c>
      <c r="G1004" s="36">
        <v>10</v>
      </c>
      <c r="H1004" s="103">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7" t="str">
        <f>VLOOKUP(B1004,辅助信息!E:J,6,FALSE)</f>
        <v>送货单：送货单位：南充思临新材料科技有限公司,收货单位：五冶集团川北(南充)建设有限公司,项目名称：南充医学科学产业园,送货车型13米,装货前联系收货人核实到场规格</v>
      </c>
      <c r="M1004" s="105">
        <v>45738</v>
      </c>
      <c r="O1004" s="43">
        <f ca="1" t="shared" si="34"/>
        <v>0</v>
      </c>
      <c r="P1004" s="43">
        <f ca="1" t="shared" si="35"/>
        <v>222</v>
      </c>
      <c r="Q1004" s="40" t="str">
        <f>VLOOKUP(B1004,辅助信息!E:M,9,FALSE)</f>
        <v>ZTWM-CDGS-XS-2024-0248-五冶钢构-南充市医学院项目</v>
      </c>
      <c r="R1004" s="26"/>
    </row>
    <row r="1005" hidden="1" spans="2:18">
      <c r="B1005" s="40" t="s">
        <v>113</v>
      </c>
      <c r="C1005" s="70">
        <v>45740</v>
      </c>
      <c r="D1005" s="40" t="str">
        <f>VLOOKUP(B1005,辅助信息!E:K,7,FALSE)</f>
        <v>JWDDCD2025051000019</v>
      </c>
      <c r="E1005" s="40" t="str">
        <f>VLOOKUP(F1005,辅助信息!A:B,2,FALSE)</f>
        <v>螺纹钢</v>
      </c>
      <c r="F1005" s="40" t="s">
        <v>18</v>
      </c>
      <c r="G1005" s="36">
        <v>25</v>
      </c>
      <c r="H1005" s="103">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6"/>
      <c r="M1005" s="105">
        <v>45738</v>
      </c>
      <c r="O1005" s="43">
        <f ca="1" t="shared" si="34"/>
        <v>0</v>
      </c>
      <c r="P1005" s="43">
        <f ca="1" t="shared" si="35"/>
        <v>222</v>
      </c>
      <c r="Q1005" s="40" t="str">
        <f>VLOOKUP(B1005,辅助信息!E:M,9,FALSE)</f>
        <v>ZTWM-CDGS-XS-2024-0248-五冶钢构-南充市医学院项目</v>
      </c>
      <c r="R1005" s="26"/>
    </row>
    <row r="1006" hidden="1" spans="2:18">
      <c r="B1006" s="40" t="s">
        <v>29</v>
      </c>
      <c r="C1006" s="70">
        <v>45740</v>
      </c>
      <c r="D1006" s="40" t="e">
        <f>VLOOKUP(B1006,辅助信息!E:K,7,FALSE)</f>
        <v>#N/A</v>
      </c>
      <c r="E1006" s="40" t="str">
        <f>VLOOKUP(F1006,辅助信息!A:B,2,FALSE)</f>
        <v>螺纹钢</v>
      </c>
      <c r="F1006" s="40" t="s">
        <v>27</v>
      </c>
      <c r="G1006" s="36">
        <v>20</v>
      </c>
      <c r="H1006" s="103"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7" t="e">
        <f>VLOOKUP(B1006,辅助信息!E:J,6,FALSE)</f>
        <v>#N/A</v>
      </c>
      <c r="M1006" s="105">
        <v>45738</v>
      </c>
      <c r="O1006" s="43">
        <f ca="1" t="shared" si="34"/>
        <v>0</v>
      </c>
      <c r="P1006" s="43">
        <f ca="1" t="shared" si="35"/>
        <v>222</v>
      </c>
      <c r="Q1006" s="40" t="e">
        <f>VLOOKUP(B1006,辅助信息!E:M,9,FALSE)</f>
        <v>#N/A</v>
      </c>
      <c r="R1006" s="26"/>
    </row>
    <row r="1007" hidden="1" spans="2:18">
      <c r="B1007" s="40" t="s">
        <v>29</v>
      </c>
      <c r="C1007" s="70">
        <v>45740</v>
      </c>
      <c r="D1007" s="40" t="e">
        <f>VLOOKUP(B1007,辅助信息!E:K,7,FALSE)</f>
        <v>#N/A</v>
      </c>
      <c r="E1007" s="40" t="str">
        <f>VLOOKUP(F1007,辅助信息!A:B,2,FALSE)</f>
        <v>螺纹钢</v>
      </c>
      <c r="F1007" s="40" t="s">
        <v>28</v>
      </c>
      <c r="G1007" s="36">
        <v>15</v>
      </c>
      <c r="H1007" s="103"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6"/>
      <c r="M1007" s="105">
        <v>45738</v>
      </c>
      <c r="O1007" s="43">
        <f ca="1" t="shared" si="34"/>
        <v>0</v>
      </c>
      <c r="P1007" s="43">
        <f ca="1" t="shared" si="35"/>
        <v>222</v>
      </c>
      <c r="Q1007" s="40" t="e">
        <f>VLOOKUP(B1007,辅助信息!E:M,9,FALSE)</f>
        <v>#N/A</v>
      </c>
      <c r="R1007" s="26"/>
    </row>
    <row r="1008" hidden="1" spans="2:18">
      <c r="B1008" s="40" t="s">
        <v>87</v>
      </c>
      <c r="C1008" s="70">
        <v>45740</v>
      </c>
      <c r="D1008" s="40" t="e">
        <f>VLOOKUP(B1008,辅助信息!E:K,7,FALSE)</f>
        <v>#N/A</v>
      </c>
      <c r="E1008" s="40" t="str">
        <f>VLOOKUP(F1008,辅助信息!A:B,2,FALSE)</f>
        <v>螺纹钢</v>
      </c>
      <c r="F1008" s="40" t="s">
        <v>27</v>
      </c>
      <c r="G1008" s="36">
        <v>5</v>
      </c>
      <c r="H1008" s="103"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7" t="e">
        <f>VLOOKUP(B1008,辅助信息!E:J,6,FALSE)</f>
        <v>#N/A</v>
      </c>
      <c r="M1008" s="105">
        <v>45738</v>
      </c>
      <c r="O1008" s="43">
        <f ca="1" t="shared" si="34"/>
        <v>0</v>
      </c>
      <c r="P1008" s="43">
        <f ca="1" t="shared" si="35"/>
        <v>222</v>
      </c>
      <c r="Q1008" s="40" t="e">
        <f>VLOOKUP(B1008,辅助信息!E:M,9,FALSE)</f>
        <v>#N/A</v>
      </c>
      <c r="R1008" s="26"/>
    </row>
    <row r="1009" hidden="1" spans="2:18">
      <c r="B1009" s="40" t="s">
        <v>87</v>
      </c>
      <c r="C1009" s="70">
        <v>45740</v>
      </c>
      <c r="D1009" s="40" t="e">
        <f>VLOOKUP(B1009,辅助信息!E:K,7,FALSE)</f>
        <v>#N/A</v>
      </c>
      <c r="E1009" s="40" t="str">
        <f>VLOOKUP(F1009,辅助信息!A:B,2,FALSE)</f>
        <v>螺纹钢</v>
      </c>
      <c r="F1009" s="40" t="s">
        <v>19</v>
      </c>
      <c r="G1009" s="36">
        <v>8</v>
      </c>
      <c r="H1009" s="103"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8"/>
      <c r="M1009" s="105">
        <v>45738</v>
      </c>
      <c r="O1009" s="43">
        <f ca="1" t="shared" si="34"/>
        <v>0</v>
      </c>
      <c r="P1009" s="43">
        <f ca="1" t="shared" si="35"/>
        <v>222</v>
      </c>
      <c r="Q1009" s="40" t="e">
        <f>VLOOKUP(B1009,辅助信息!E:M,9,FALSE)</f>
        <v>#N/A</v>
      </c>
      <c r="R1009" s="26"/>
    </row>
    <row r="1010" hidden="1" spans="2:18">
      <c r="B1010" s="40" t="s">
        <v>87</v>
      </c>
      <c r="C1010" s="70">
        <v>45740</v>
      </c>
      <c r="D1010" s="40" t="e">
        <f>VLOOKUP(B1010,辅助信息!E:K,7,FALSE)</f>
        <v>#N/A</v>
      </c>
      <c r="E1010" s="40" t="str">
        <f>VLOOKUP(F1010,辅助信息!A:B,2,FALSE)</f>
        <v>螺纹钢</v>
      </c>
      <c r="F1010" s="40" t="s">
        <v>52</v>
      </c>
      <c r="G1010" s="36">
        <v>22</v>
      </c>
      <c r="H1010" s="103"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6"/>
      <c r="M1010" s="105">
        <v>45738</v>
      </c>
      <c r="O1010" s="43">
        <f ca="1" t="shared" si="34"/>
        <v>0</v>
      </c>
      <c r="P1010" s="43">
        <f ca="1" t="shared" si="35"/>
        <v>222</v>
      </c>
      <c r="Q1010" s="40" t="e">
        <f>VLOOKUP(B1010,辅助信息!E:M,9,FALSE)</f>
        <v>#N/A</v>
      </c>
      <c r="R1010" s="26"/>
    </row>
    <row r="1011" hidden="1" spans="2:18">
      <c r="B1011" s="40" t="s">
        <v>87</v>
      </c>
      <c r="C1011" s="70">
        <v>45740</v>
      </c>
      <c r="D1011" s="40" t="e">
        <f>VLOOKUP(B1011,辅助信息!E:K,7,FALSE)</f>
        <v>#N/A</v>
      </c>
      <c r="E1011" s="40" t="str">
        <f>VLOOKUP(F1011,辅助信息!A:B,2,FALSE)</f>
        <v>螺纹钢</v>
      </c>
      <c r="F1011" s="40" t="s">
        <v>65</v>
      </c>
      <c r="G1011" s="36">
        <v>10</v>
      </c>
      <c r="H1011" s="103"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7"/>
      <c r="M1011" s="105"/>
      <c r="O1011" s="43"/>
      <c r="P1011" s="43"/>
      <c r="Q1011" s="40"/>
      <c r="R1011" s="26"/>
    </row>
    <row r="1012" hidden="1" spans="2:18">
      <c r="B1012" s="40" t="s">
        <v>120</v>
      </c>
      <c r="C1012" s="70">
        <v>45740</v>
      </c>
      <c r="D1012" s="40" t="e">
        <f>VLOOKUP(B1012,辅助信息!E:K,7,FALSE)</f>
        <v>#N/A</v>
      </c>
      <c r="E1012" s="40" t="str">
        <f>VLOOKUP(F1012,辅助信息!A:B,2,FALSE)</f>
        <v>高线</v>
      </c>
      <c r="F1012" s="40" t="s">
        <v>53</v>
      </c>
      <c r="G1012" s="36">
        <v>3</v>
      </c>
      <c r="H1012" s="103"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7" t="e">
        <f>VLOOKUP(B1012,辅助信息!E:J,6,FALSE)</f>
        <v>#N/A</v>
      </c>
      <c r="M1012" s="105">
        <v>45738</v>
      </c>
      <c r="O1012" s="43">
        <f ca="1" t="shared" ref="O1012:O1019" si="36">IF(OR(M1012="",N1012&lt;&gt;""),"",MAX(M1012-TODAY(),0))</f>
        <v>0</v>
      </c>
      <c r="P1012" s="43">
        <f ca="1" t="shared" ref="P1012:P1075" si="37">IF(M1012="","",IF(N1012&lt;&gt;"",MAX(N1012-M1012,0),IF(TODAY()&gt;M1012,TODAY()-M1012,0)))</f>
        <v>222</v>
      </c>
      <c r="Q1012" s="40" t="e">
        <f>VLOOKUP(B1012,辅助信息!E:M,9,FALSE)</f>
        <v>#N/A</v>
      </c>
      <c r="R1012" s="26"/>
    </row>
    <row r="1013" hidden="1" spans="2:18">
      <c r="B1013" s="40" t="s">
        <v>120</v>
      </c>
      <c r="C1013" s="70">
        <v>45740</v>
      </c>
      <c r="D1013" s="40" t="e">
        <f>VLOOKUP(B1013,辅助信息!E:K,7,FALSE)</f>
        <v>#N/A</v>
      </c>
      <c r="E1013" s="40" t="str">
        <f>VLOOKUP(F1013,辅助信息!A:B,2,FALSE)</f>
        <v>盘螺</v>
      </c>
      <c r="F1013" s="40" t="s">
        <v>41</v>
      </c>
      <c r="G1013" s="36">
        <v>6</v>
      </c>
      <c r="H1013" s="103"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8"/>
      <c r="M1013" s="105">
        <v>45738</v>
      </c>
      <c r="O1013" s="43">
        <f ca="1" t="shared" si="36"/>
        <v>0</v>
      </c>
      <c r="P1013" s="43">
        <f ca="1" t="shared" si="37"/>
        <v>222</v>
      </c>
      <c r="Q1013" s="40" t="e">
        <f>VLOOKUP(B1013,辅助信息!E:M,9,FALSE)</f>
        <v>#N/A</v>
      </c>
      <c r="R1013" s="26"/>
    </row>
    <row r="1014" hidden="1" spans="2:18">
      <c r="B1014" s="40" t="s">
        <v>120</v>
      </c>
      <c r="C1014" s="70">
        <v>45740</v>
      </c>
      <c r="D1014" s="40" t="e">
        <f>VLOOKUP(B1014,辅助信息!E:K,7,FALSE)</f>
        <v>#N/A</v>
      </c>
      <c r="E1014" s="40" t="str">
        <f>VLOOKUP(F1014,辅助信息!A:B,2,FALSE)</f>
        <v>螺纹钢</v>
      </c>
      <c r="F1014" s="40" t="s">
        <v>27</v>
      </c>
      <c r="G1014" s="36">
        <v>6</v>
      </c>
      <c r="H1014" s="103"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8"/>
      <c r="M1014" s="105">
        <v>45738</v>
      </c>
      <c r="O1014" s="43">
        <f ca="1" t="shared" si="36"/>
        <v>0</v>
      </c>
      <c r="P1014" s="43">
        <f ca="1" t="shared" si="37"/>
        <v>222</v>
      </c>
      <c r="Q1014" s="40" t="e">
        <f>VLOOKUP(B1014,辅助信息!E:M,9,FALSE)</f>
        <v>#N/A</v>
      </c>
      <c r="R1014" s="26"/>
    </row>
    <row r="1015" hidden="1" spans="2:18">
      <c r="B1015" s="40" t="s">
        <v>120</v>
      </c>
      <c r="C1015" s="70">
        <v>45740</v>
      </c>
      <c r="D1015" s="40" t="e">
        <f>VLOOKUP(B1015,辅助信息!E:K,7,FALSE)</f>
        <v>#N/A</v>
      </c>
      <c r="E1015" s="40" t="str">
        <f>VLOOKUP(F1015,辅助信息!A:B,2,FALSE)</f>
        <v>螺纹钢</v>
      </c>
      <c r="F1015" s="40" t="s">
        <v>32</v>
      </c>
      <c r="G1015" s="36">
        <v>3</v>
      </c>
      <c r="H1015" s="103"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8"/>
      <c r="M1015" s="105">
        <v>45738</v>
      </c>
      <c r="O1015" s="43">
        <f ca="1" t="shared" si="36"/>
        <v>0</v>
      </c>
      <c r="P1015" s="43">
        <f ca="1" t="shared" si="37"/>
        <v>222</v>
      </c>
      <c r="Q1015" s="40" t="e">
        <f>VLOOKUP(B1015,辅助信息!E:M,9,FALSE)</f>
        <v>#N/A</v>
      </c>
      <c r="R1015" s="26"/>
    </row>
    <row r="1016" hidden="1" spans="2:18">
      <c r="B1016" s="40" t="s">
        <v>120</v>
      </c>
      <c r="C1016" s="70">
        <v>45740</v>
      </c>
      <c r="D1016" s="40" t="e">
        <f>VLOOKUP(B1016,辅助信息!E:K,7,FALSE)</f>
        <v>#N/A</v>
      </c>
      <c r="E1016" s="40" t="str">
        <f>VLOOKUP(F1016,辅助信息!A:B,2,FALSE)</f>
        <v>螺纹钢</v>
      </c>
      <c r="F1016" s="40" t="s">
        <v>52</v>
      </c>
      <c r="G1016" s="36">
        <v>15</v>
      </c>
      <c r="H1016" s="103"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6"/>
      <c r="M1016" s="105">
        <v>45738</v>
      </c>
      <c r="O1016" s="43">
        <f ca="1" t="shared" si="36"/>
        <v>0</v>
      </c>
      <c r="P1016" s="43">
        <f ca="1" t="shared" si="37"/>
        <v>222</v>
      </c>
      <c r="Q1016" s="40" t="e">
        <f>VLOOKUP(B1016,辅助信息!E:M,9,FALSE)</f>
        <v>#N/A</v>
      </c>
      <c r="R1016" s="26"/>
    </row>
    <row r="1017" hidden="1" spans="2:18">
      <c r="B1017" s="40" t="s">
        <v>64</v>
      </c>
      <c r="C1017" s="70">
        <v>45740</v>
      </c>
      <c r="D1017" s="40" t="e">
        <f>VLOOKUP(B1017,辅助信息!E:K,7,FALSE)</f>
        <v>#N/A</v>
      </c>
      <c r="E1017" s="40" t="str">
        <f>VLOOKUP(F1017,辅助信息!A:B,2,FALSE)</f>
        <v>螺纹钢</v>
      </c>
      <c r="F1017" s="40" t="s">
        <v>19</v>
      </c>
      <c r="G1017" s="36">
        <v>10</v>
      </c>
      <c r="H1017" s="103"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7" t="e">
        <f>VLOOKUP(B1017,辅助信息!E:J,6,FALSE)</f>
        <v>#N/A</v>
      </c>
      <c r="M1017" s="105">
        <v>45738</v>
      </c>
      <c r="O1017" s="43">
        <f ca="1" t="shared" si="36"/>
        <v>0</v>
      </c>
      <c r="P1017" s="43">
        <f ca="1" t="shared" si="37"/>
        <v>222</v>
      </c>
      <c r="Q1017" s="40" t="e">
        <f>VLOOKUP(B1017,辅助信息!E:M,9,FALSE)</f>
        <v>#N/A</v>
      </c>
      <c r="R1017" s="26"/>
    </row>
    <row r="1018" hidden="1" spans="2:18">
      <c r="B1018" s="40" t="s">
        <v>64</v>
      </c>
      <c r="C1018" s="70">
        <v>45740</v>
      </c>
      <c r="D1018" s="40" t="e">
        <f>VLOOKUP(B1018,辅助信息!E:K,7,FALSE)</f>
        <v>#N/A</v>
      </c>
      <c r="E1018" s="40" t="str">
        <f>VLOOKUP(F1018,辅助信息!A:B,2,FALSE)</f>
        <v>螺纹钢</v>
      </c>
      <c r="F1018" s="40" t="s">
        <v>32</v>
      </c>
      <c r="G1018" s="36">
        <v>11</v>
      </c>
      <c r="H1018" s="103"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8"/>
      <c r="M1018" s="105">
        <v>45738</v>
      </c>
      <c r="O1018" s="43">
        <f ca="1" t="shared" si="36"/>
        <v>0</v>
      </c>
      <c r="P1018" s="43">
        <f ca="1" t="shared" si="37"/>
        <v>222</v>
      </c>
      <c r="Q1018" s="40" t="e">
        <f>VLOOKUP(B1018,辅助信息!E:M,9,FALSE)</f>
        <v>#N/A</v>
      </c>
      <c r="R1018" s="26"/>
    </row>
    <row r="1019" hidden="1" spans="2:18">
      <c r="B1019" s="40" t="s">
        <v>64</v>
      </c>
      <c r="C1019" s="70">
        <v>45740</v>
      </c>
      <c r="D1019" s="40" t="e">
        <f>VLOOKUP(B1019,辅助信息!E:K,7,FALSE)</f>
        <v>#N/A</v>
      </c>
      <c r="E1019" s="40" t="str">
        <f>VLOOKUP(F1019,辅助信息!A:B,2,FALSE)</f>
        <v>螺纹钢</v>
      </c>
      <c r="F1019" s="40" t="s">
        <v>52</v>
      </c>
      <c r="G1019" s="36">
        <v>21</v>
      </c>
      <c r="H1019" s="103"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6"/>
      <c r="M1019" s="105">
        <v>45738</v>
      </c>
      <c r="O1019" s="43">
        <f ca="1" t="shared" si="36"/>
        <v>0</v>
      </c>
      <c r="P1019" s="43">
        <f ca="1" t="shared" si="37"/>
        <v>222</v>
      </c>
      <c r="Q1019" s="40" t="e">
        <f>VLOOKUP(B1019,辅助信息!E:M,9,FALSE)</f>
        <v>#N/A</v>
      </c>
      <c r="R1019" s="26"/>
    </row>
    <row r="1020" ht="13.5" hidden="1" customHeight="1" spans="2:17">
      <c r="B1020" s="40" t="s">
        <v>106</v>
      </c>
      <c r="C1020" s="70">
        <v>45740</v>
      </c>
      <c r="D1020" s="40" t="s">
        <v>121</v>
      </c>
      <c r="E1020" s="40" t="str">
        <f>VLOOKUP(F1020,辅助信息!A:B,2,FALSE)</f>
        <v>盘螺</v>
      </c>
      <c r="F1020" s="40" t="s">
        <v>40</v>
      </c>
      <c r="G1020" s="36">
        <v>10</v>
      </c>
      <c r="H1020" s="103" t="str">
        <f>_xlfn.XLOOKUP(C1020&amp;F1020&amp;I1020&amp;J1020,'[1]2025年已发货'!$F:$F&amp;'[1]2025年已发货'!$C:$C&amp;'[1]2025年已发货'!$G:$G&amp;'[1]2025年已发货'!$H:$H,'[1]2025年已发货'!$E:$E,"未发货")</f>
        <v>未发货</v>
      </c>
      <c r="I1020" s="40" t="s">
        <v>122</v>
      </c>
      <c r="J1020" s="40" t="s">
        <v>123</v>
      </c>
      <c r="K1020" s="40">
        <v>15228205853</v>
      </c>
      <c r="L1020" s="77" t="s">
        <v>124</v>
      </c>
      <c r="M1020" s="105">
        <v>45741</v>
      </c>
      <c r="O1020" s="43">
        <v>1</v>
      </c>
      <c r="P1020" s="43">
        <f ca="1" t="shared" si="37"/>
        <v>219</v>
      </c>
      <c r="Q1020" s="40" t="s">
        <v>125</v>
      </c>
    </row>
    <row r="1021" ht="13.5" hidden="1" customHeight="1" spans="2:17">
      <c r="B1021" s="40" t="s">
        <v>106</v>
      </c>
      <c r="C1021" s="70">
        <v>45740</v>
      </c>
      <c r="D1021" s="40" t="s">
        <v>121</v>
      </c>
      <c r="E1021" s="40" t="str">
        <f>VLOOKUP(F1021,辅助信息!A:B,2,FALSE)</f>
        <v>盘螺</v>
      </c>
      <c r="F1021" s="40" t="s">
        <v>41</v>
      </c>
      <c r="G1021" s="36">
        <v>15</v>
      </c>
      <c r="H1021" s="103" t="str">
        <f>_xlfn.XLOOKUP(C1021&amp;F1021&amp;I1021&amp;J1021,'[1]2025年已发货'!$F:$F&amp;'[1]2025年已发货'!$C:$C&amp;'[1]2025年已发货'!$G:$G&amp;'[1]2025年已发货'!$H:$H,'[1]2025年已发货'!$E:$E,"未发货")</f>
        <v>未发货</v>
      </c>
      <c r="I1021" s="40" t="s">
        <v>122</v>
      </c>
      <c r="J1021" s="40" t="s">
        <v>123</v>
      </c>
      <c r="K1021" s="40">
        <v>15228205853</v>
      </c>
      <c r="L1021" s="78"/>
      <c r="M1021" s="105">
        <v>45741</v>
      </c>
      <c r="O1021" s="43">
        <v>1</v>
      </c>
      <c r="P1021" s="43">
        <f ca="1" t="shared" si="37"/>
        <v>219</v>
      </c>
      <c r="Q1021" s="40" t="s">
        <v>125</v>
      </c>
    </row>
    <row r="1022" ht="13.5" hidden="1" customHeight="1" spans="2:17">
      <c r="B1022" s="40" t="s">
        <v>106</v>
      </c>
      <c r="C1022" s="70">
        <v>45740</v>
      </c>
      <c r="D1022" s="40" t="s">
        <v>121</v>
      </c>
      <c r="E1022" s="40" t="str">
        <f>VLOOKUP(F1022,辅助信息!A:B,2,FALSE)</f>
        <v>螺纹钢</v>
      </c>
      <c r="F1022" s="40" t="s">
        <v>18</v>
      </c>
      <c r="G1022" s="36">
        <v>9</v>
      </c>
      <c r="H1022" s="103" t="str">
        <f>_xlfn.XLOOKUP(C1022&amp;F1022&amp;I1022&amp;J1022,'[1]2025年已发货'!$F:$F&amp;'[1]2025年已发货'!$C:$C&amp;'[1]2025年已发货'!$G:$G&amp;'[1]2025年已发货'!$H:$H,'[1]2025年已发货'!$E:$E,"未发货")</f>
        <v>未发货</v>
      </c>
      <c r="I1022" s="40" t="s">
        <v>122</v>
      </c>
      <c r="J1022" s="40" t="s">
        <v>123</v>
      </c>
      <c r="K1022" s="40">
        <v>15228205853</v>
      </c>
      <c r="L1022" s="76"/>
      <c r="M1022" s="106">
        <v>45741</v>
      </c>
      <c r="O1022" s="98">
        <v>1</v>
      </c>
      <c r="P1022" s="98">
        <f ca="1" t="shared" si="37"/>
        <v>219</v>
      </c>
      <c r="Q1022" s="40" t="s">
        <v>125</v>
      </c>
    </row>
    <row r="1023" hidden="1" spans="1:18">
      <c r="A1023" s="99" t="s">
        <v>126</v>
      </c>
      <c r="B1023" s="40" t="s">
        <v>120</v>
      </c>
      <c r="C1023" s="70">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1">
        <v>45738</v>
      </c>
      <c r="O1023" s="62">
        <f ca="1" t="shared" ref="O1023:O1086" si="38">IF(OR(M1023="",N1023&lt;&gt;""),"",MAX(M1023-TODAY(),0))</f>
        <v>0</v>
      </c>
      <c r="P1023" s="62">
        <f ca="1" t="shared" si="37"/>
        <v>222</v>
      </c>
      <c r="Q1023" s="26" t="e">
        <f>VLOOKUP(B1023,辅助信息!E:M,9,FALSE)</f>
        <v>#N/A</v>
      </c>
      <c r="R1023" s="26"/>
    </row>
    <row r="1024" hidden="1" spans="1:18">
      <c r="A1024" s="78"/>
      <c r="B1024" s="40" t="s">
        <v>120</v>
      </c>
      <c r="C1024" s="70">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8"/>
      <c r="M1024" s="91">
        <v>45738</v>
      </c>
      <c r="O1024" s="62">
        <f ca="1" t="shared" si="38"/>
        <v>0</v>
      </c>
      <c r="P1024" s="62">
        <f ca="1" t="shared" si="37"/>
        <v>222</v>
      </c>
      <c r="Q1024" s="26" t="e">
        <f>VLOOKUP(B1024,辅助信息!E:M,9,FALSE)</f>
        <v>#N/A</v>
      </c>
      <c r="R1024" s="26"/>
    </row>
    <row r="1025" hidden="1" spans="1:18">
      <c r="A1025" s="78"/>
      <c r="B1025" s="40" t="s">
        <v>120</v>
      </c>
      <c r="C1025" s="70">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8"/>
      <c r="M1025" s="91">
        <v>45738</v>
      </c>
      <c r="O1025" s="62">
        <f ca="1" t="shared" si="38"/>
        <v>0</v>
      </c>
      <c r="P1025" s="62">
        <f ca="1" t="shared" si="37"/>
        <v>222</v>
      </c>
      <c r="Q1025" s="26" t="e">
        <f>VLOOKUP(B1025,辅助信息!E:M,9,FALSE)</f>
        <v>#N/A</v>
      </c>
      <c r="R1025" s="26"/>
    </row>
    <row r="1026" hidden="1" spans="1:18">
      <c r="A1026" s="78"/>
      <c r="B1026" s="40" t="s">
        <v>120</v>
      </c>
      <c r="C1026" s="70">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8"/>
      <c r="M1026" s="91">
        <v>45738</v>
      </c>
      <c r="O1026" s="62">
        <f ca="1" t="shared" si="38"/>
        <v>0</v>
      </c>
      <c r="P1026" s="62">
        <f ca="1" t="shared" si="37"/>
        <v>222</v>
      </c>
      <c r="Q1026" s="26" t="e">
        <f>VLOOKUP(B1026,辅助信息!E:M,9,FALSE)</f>
        <v>#N/A</v>
      </c>
      <c r="R1026" s="26"/>
    </row>
    <row r="1027" hidden="1" spans="1:18">
      <c r="A1027" s="76"/>
      <c r="B1027" s="40" t="s">
        <v>120</v>
      </c>
      <c r="C1027" s="70">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6"/>
      <c r="M1027" s="91">
        <v>45738</v>
      </c>
      <c r="O1027" s="62">
        <f ca="1" t="shared" si="38"/>
        <v>0</v>
      </c>
      <c r="P1027" s="62">
        <f ca="1" t="shared" si="37"/>
        <v>222</v>
      </c>
      <c r="Q1027" s="26" t="e">
        <f>VLOOKUP(B1027,辅助信息!E:M,9,FALSE)</f>
        <v>#N/A</v>
      </c>
      <c r="R1027" s="26"/>
    </row>
    <row r="1028" hidden="1" spans="2:18">
      <c r="B1028" s="40" t="s">
        <v>74</v>
      </c>
      <c r="C1028" s="70">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1">
        <v>45752</v>
      </c>
      <c r="O1028" s="62">
        <f ca="1" t="shared" si="38"/>
        <v>0</v>
      </c>
      <c r="P1028" s="62">
        <f ca="1" t="shared" si="37"/>
        <v>208</v>
      </c>
      <c r="Q1028" s="26" t="e">
        <f>VLOOKUP(B1028,辅助信息!E:M,9,FALSE)</f>
        <v>#N/A</v>
      </c>
      <c r="R1028" s="26"/>
    </row>
    <row r="1029" hidden="1" spans="2:18">
      <c r="B1029" s="40" t="s">
        <v>74</v>
      </c>
      <c r="C1029" s="70">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8"/>
      <c r="M1029" s="91">
        <v>45752</v>
      </c>
      <c r="O1029" s="62">
        <f ca="1" t="shared" si="38"/>
        <v>0</v>
      </c>
      <c r="P1029" s="62">
        <f ca="1" t="shared" si="37"/>
        <v>208</v>
      </c>
      <c r="Q1029" s="26" t="e">
        <f>VLOOKUP(B1029,辅助信息!E:M,9,FALSE)</f>
        <v>#N/A</v>
      </c>
      <c r="R1029" s="26"/>
    </row>
    <row r="1030" hidden="1" spans="2:18">
      <c r="B1030" s="40" t="s">
        <v>74</v>
      </c>
      <c r="C1030" s="70">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8"/>
      <c r="M1030" s="91">
        <v>45752</v>
      </c>
      <c r="O1030" s="62">
        <f ca="1" t="shared" si="38"/>
        <v>0</v>
      </c>
      <c r="P1030" s="62">
        <f ca="1" t="shared" si="37"/>
        <v>208</v>
      </c>
      <c r="Q1030" s="26" t="e">
        <f>VLOOKUP(B1030,辅助信息!E:M,9,FALSE)</f>
        <v>#N/A</v>
      </c>
      <c r="R1030" s="26"/>
    </row>
    <row r="1031" hidden="1" spans="2:18">
      <c r="B1031" s="40" t="s">
        <v>74</v>
      </c>
      <c r="C1031" s="70">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6"/>
      <c r="M1031" s="91">
        <v>45752</v>
      </c>
      <c r="O1031" s="62">
        <f ca="1" t="shared" si="38"/>
        <v>0</v>
      </c>
      <c r="P1031" s="62">
        <f ca="1" t="shared" si="37"/>
        <v>208</v>
      </c>
      <c r="Q1031" s="26" t="e">
        <f>VLOOKUP(B1031,辅助信息!E:M,9,FALSE)</f>
        <v>#N/A</v>
      </c>
      <c r="R1031" s="26"/>
    </row>
    <row r="1032" hidden="1" spans="2:18">
      <c r="B1032" s="40" t="s">
        <v>64</v>
      </c>
      <c r="C1032" s="70">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1">
        <v>45746</v>
      </c>
      <c r="O1032" s="62">
        <f ca="1" t="shared" si="38"/>
        <v>0</v>
      </c>
      <c r="P1032" s="62">
        <f ca="1" t="shared" si="37"/>
        <v>214</v>
      </c>
      <c r="Q1032" s="26" t="e">
        <f>VLOOKUP(B1032,辅助信息!E:M,9,FALSE)</f>
        <v>#N/A</v>
      </c>
      <c r="R1032" s="26"/>
    </row>
    <row r="1033" hidden="1" spans="2:18">
      <c r="B1033" s="40" t="s">
        <v>64</v>
      </c>
      <c r="C1033" s="70">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6"/>
      <c r="M1033" s="91">
        <v>45746</v>
      </c>
      <c r="O1033" s="62">
        <f ca="1" t="shared" si="38"/>
        <v>0</v>
      </c>
      <c r="P1033" s="62">
        <f ca="1" t="shared" si="37"/>
        <v>214</v>
      </c>
      <c r="Q1033" s="26" t="e">
        <f>VLOOKUP(B1033,辅助信息!E:M,9,FALSE)</f>
        <v>#N/A</v>
      </c>
      <c r="R1033" s="26"/>
    </row>
    <row r="1034" hidden="1" spans="2:18">
      <c r="B1034" s="40" t="s">
        <v>87</v>
      </c>
      <c r="C1034" s="70">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1">
        <v>45747</v>
      </c>
      <c r="O1034" s="62">
        <f ca="1" t="shared" si="38"/>
        <v>0</v>
      </c>
      <c r="P1034" s="62">
        <f ca="1" t="shared" si="37"/>
        <v>213</v>
      </c>
      <c r="Q1034" s="26" t="e">
        <f>VLOOKUP(B1034,辅助信息!E:M,9,FALSE)</f>
        <v>#N/A</v>
      </c>
      <c r="R1034" s="26"/>
    </row>
    <row r="1035" hidden="1" spans="2:18">
      <c r="B1035" s="40" t="s">
        <v>87</v>
      </c>
      <c r="C1035" s="70">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8"/>
      <c r="M1035" s="91">
        <v>45747</v>
      </c>
      <c r="O1035" s="62">
        <f ca="1" t="shared" si="38"/>
        <v>0</v>
      </c>
      <c r="P1035" s="62">
        <f ca="1" t="shared" si="37"/>
        <v>213</v>
      </c>
      <c r="Q1035" s="26" t="e">
        <f>VLOOKUP(B1035,辅助信息!E:M,9,FALSE)</f>
        <v>#N/A</v>
      </c>
      <c r="R1035" s="26"/>
    </row>
    <row r="1036" hidden="1" spans="2:18">
      <c r="B1036" s="40" t="s">
        <v>87</v>
      </c>
      <c r="C1036" s="70">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8"/>
      <c r="M1036" s="91">
        <v>45747</v>
      </c>
      <c r="O1036" s="62">
        <f ca="1" t="shared" si="38"/>
        <v>0</v>
      </c>
      <c r="P1036" s="62">
        <f ca="1" t="shared" si="37"/>
        <v>213</v>
      </c>
      <c r="Q1036" s="26" t="e">
        <f>VLOOKUP(B1036,辅助信息!E:M,9,FALSE)</f>
        <v>#N/A</v>
      </c>
      <c r="R1036" s="26"/>
    </row>
    <row r="1037" hidden="1" spans="2:18">
      <c r="B1037" s="40" t="s">
        <v>87</v>
      </c>
      <c r="C1037" s="70">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8"/>
      <c r="M1037" s="91">
        <v>45747</v>
      </c>
      <c r="O1037" s="62">
        <f ca="1" t="shared" si="38"/>
        <v>0</v>
      </c>
      <c r="P1037" s="62">
        <f ca="1" t="shared" si="37"/>
        <v>213</v>
      </c>
      <c r="Q1037" s="26" t="e">
        <f>VLOOKUP(B1037,辅助信息!E:M,9,FALSE)</f>
        <v>#N/A</v>
      </c>
      <c r="R1037" s="26"/>
    </row>
    <row r="1038" hidden="1" spans="2:18">
      <c r="B1038" s="40" t="s">
        <v>87</v>
      </c>
      <c r="C1038" s="70">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8"/>
      <c r="M1038" s="91">
        <v>45747</v>
      </c>
      <c r="O1038" s="62">
        <f ca="1" t="shared" si="38"/>
        <v>0</v>
      </c>
      <c r="P1038" s="62">
        <f ca="1" t="shared" si="37"/>
        <v>213</v>
      </c>
      <c r="Q1038" s="26" t="e">
        <f>VLOOKUP(B1038,辅助信息!E:M,9,FALSE)</f>
        <v>#N/A</v>
      </c>
      <c r="R1038" s="26"/>
    </row>
    <row r="1039" hidden="1" spans="2:18">
      <c r="B1039" s="40" t="s">
        <v>87</v>
      </c>
      <c r="C1039" s="70">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8"/>
      <c r="M1039" s="91">
        <v>45747</v>
      </c>
      <c r="O1039" s="62">
        <f ca="1" t="shared" si="38"/>
        <v>0</v>
      </c>
      <c r="P1039" s="62">
        <f ca="1" t="shared" si="37"/>
        <v>213</v>
      </c>
      <c r="Q1039" s="26" t="e">
        <f>VLOOKUP(B1039,辅助信息!E:M,9,FALSE)</f>
        <v>#N/A</v>
      </c>
      <c r="R1039" s="26"/>
    </row>
    <row r="1040" hidden="1" spans="2:18">
      <c r="B1040" s="40" t="s">
        <v>87</v>
      </c>
      <c r="C1040" s="70">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6"/>
      <c r="M1040" s="91">
        <v>45747</v>
      </c>
      <c r="O1040" s="62">
        <f ca="1" t="shared" si="38"/>
        <v>0</v>
      </c>
      <c r="P1040" s="62">
        <f ca="1" t="shared" si="37"/>
        <v>213</v>
      </c>
      <c r="Q1040" s="26" t="e">
        <f>VLOOKUP(B1040,辅助信息!E:M,9,FALSE)</f>
        <v>#N/A</v>
      </c>
      <c r="R1040" s="26"/>
    </row>
    <row r="1041" hidden="1" spans="2:18">
      <c r="B1041" s="40" t="s">
        <v>75</v>
      </c>
      <c r="C1041" s="70">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1">
        <v>45750</v>
      </c>
      <c r="O1041" s="62">
        <f ca="1" t="shared" si="38"/>
        <v>0</v>
      </c>
      <c r="P1041" s="62">
        <f ca="1" t="shared" si="37"/>
        <v>210</v>
      </c>
      <c r="Q1041" s="26" t="e">
        <f>VLOOKUP(B1041,辅助信息!E:M,9,FALSE)</f>
        <v>#N/A</v>
      </c>
      <c r="R1041" s="26"/>
    </row>
    <row r="1042" hidden="1" spans="2:18">
      <c r="B1042" s="40" t="s">
        <v>75</v>
      </c>
      <c r="C1042" s="70">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8"/>
      <c r="M1042" s="91">
        <v>45750</v>
      </c>
      <c r="O1042" s="62">
        <f ca="1" t="shared" si="38"/>
        <v>0</v>
      </c>
      <c r="P1042" s="62">
        <f ca="1" t="shared" si="37"/>
        <v>210</v>
      </c>
      <c r="Q1042" s="26" t="e">
        <f>VLOOKUP(B1042,辅助信息!E:M,9,FALSE)</f>
        <v>#N/A</v>
      </c>
      <c r="R1042" s="26"/>
    </row>
    <row r="1043" hidden="1" spans="2:18">
      <c r="B1043" s="40" t="s">
        <v>75</v>
      </c>
      <c r="C1043" s="70">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8"/>
      <c r="M1043" s="91">
        <v>45750</v>
      </c>
      <c r="O1043" s="62">
        <f ca="1" t="shared" si="38"/>
        <v>0</v>
      </c>
      <c r="P1043" s="62">
        <f ca="1" t="shared" si="37"/>
        <v>210</v>
      </c>
      <c r="Q1043" s="26" t="e">
        <f>VLOOKUP(B1043,辅助信息!E:M,9,FALSE)</f>
        <v>#N/A</v>
      </c>
      <c r="R1043" s="26"/>
    </row>
    <row r="1044" hidden="1" spans="2:18">
      <c r="B1044" s="40" t="s">
        <v>75</v>
      </c>
      <c r="C1044" s="70">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6"/>
      <c r="M1044" s="91">
        <v>45750</v>
      </c>
      <c r="O1044" s="62">
        <f ca="1" t="shared" si="38"/>
        <v>0</v>
      </c>
      <c r="P1044" s="62">
        <f ca="1" t="shared" si="37"/>
        <v>210</v>
      </c>
      <c r="Q1044" s="26" t="e">
        <f>VLOOKUP(B1044,辅助信息!E:M,9,FALSE)</f>
        <v>#N/A</v>
      </c>
      <c r="R1044" s="26"/>
    </row>
    <row r="1045" hidden="1" spans="2:18">
      <c r="B1045" s="40" t="s">
        <v>120</v>
      </c>
      <c r="C1045" s="70">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1">
        <v>45750</v>
      </c>
      <c r="O1045" s="62">
        <f ca="1" t="shared" si="38"/>
        <v>0</v>
      </c>
      <c r="P1045" s="62">
        <f ca="1" t="shared" si="37"/>
        <v>210</v>
      </c>
      <c r="Q1045" s="26" t="e">
        <f>VLOOKUP(B1045,辅助信息!E:M,9,FALSE)</f>
        <v>#N/A</v>
      </c>
      <c r="R1045" s="26"/>
    </row>
    <row r="1046" hidden="1" spans="2:18">
      <c r="B1046" s="40" t="s">
        <v>120</v>
      </c>
      <c r="C1046" s="70">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8"/>
      <c r="M1046" s="91">
        <v>45750</v>
      </c>
      <c r="O1046" s="62">
        <f ca="1" t="shared" si="38"/>
        <v>0</v>
      </c>
      <c r="P1046" s="62">
        <f ca="1" t="shared" si="37"/>
        <v>210</v>
      </c>
      <c r="Q1046" s="26" t="e">
        <f>VLOOKUP(B1046,辅助信息!E:M,9,FALSE)</f>
        <v>#N/A</v>
      </c>
      <c r="R1046" s="26"/>
    </row>
    <row r="1047" hidden="1" spans="2:18">
      <c r="B1047" s="40" t="s">
        <v>120</v>
      </c>
      <c r="C1047" s="70">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8"/>
      <c r="M1047" s="91">
        <v>45750</v>
      </c>
      <c r="O1047" s="62">
        <f ca="1" t="shared" si="38"/>
        <v>0</v>
      </c>
      <c r="P1047" s="62">
        <f ca="1" t="shared" si="37"/>
        <v>210</v>
      </c>
      <c r="Q1047" s="26" t="e">
        <f>VLOOKUP(B1047,辅助信息!E:M,9,FALSE)</f>
        <v>#N/A</v>
      </c>
      <c r="R1047" s="26"/>
    </row>
    <row r="1048" hidden="1" spans="2:18">
      <c r="B1048" s="40" t="s">
        <v>120</v>
      </c>
      <c r="C1048" s="70">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8"/>
      <c r="M1048" s="91">
        <v>45750</v>
      </c>
      <c r="O1048" s="62">
        <f ca="1" t="shared" si="38"/>
        <v>0</v>
      </c>
      <c r="P1048" s="62">
        <f ca="1" t="shared" si="37"/>
        <v>210</v>
      </c>
      <c r="Q1048" s="26" t="e">
        <f>VLOOKUP(B1048,辅助信息!E:M,9,FALSE)</f>
        <v>#N/A</v>
      </c>
      <c r="R1048" s="26"/>
    </row>
    <row r="1049" hidden="1" spans="2:18">
      <c r="B1049" s="40" t="s">
        <v>120</v>
      </c>
      <c r="C1049" s="70">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6"/>
      <c r="M1049" s="91">
        <v>45750</v>
      </c>
      <c r="O1049" s="62">
        <f ca="1" t="shared" si="38"/>
        <v>0</v>
      </c>
      <c r="P1049" s="62">
        <f ca="1" t="shared" si="37"/>
        <v>210</v>
      </c>
      <c r="Q1049" s="26" t="e">
        <f>VLOOKUP(B1049,辅助信息!E:M,9,FALSE)</f>
        <v>#N/A</v>
      </c>
      <c r="R1049" s="26"/>
    </row>
    <row r="1050" hidden="1" spans="2:18">
      <c r="B1050" s="40" t="s">
        <v>25</v>
      </c>
      <c r="C1050" s="70">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1">
        <v>45749</v>
      </c>
      <c r="O1050" s="62">
        <f ca="1" t="shared" si="38"/>
        <v>0</v>
      </c>
      <c r="P1050" s="62">
        <f ca="1" t="shared" si="37"/>
        <v>211</v>
      </c>
      <c r="Q1050" s="26" t="e">
        <f>VLOOKUP(B1050,辅助信息!E:M,9,FALSE)</f>
        <v>#N/A</v>
      </c>
      <c r="R1050" s="26"/>
    </row>
    <row r="1051" hidden="1" spans="2:18">
      <c r="B1051" s="40" t="s">
        <v>25</v>
      </c>
      <c r="C1051" s="70">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8"/>
      <c r="M1051" s="91">
        <v>45749</v>
      </c>
      <c r="O1051" s="62">
        <f ca="1" t="shared" si="38"/>
        <v>0</v>
      </c>
      <c r="P1051" s="62">
        <f ca="1" t="shared" si="37"/>
        <v>211</v>
      </c>
      <c r="Q1051" s="26" t="e">
        <f>VLOOKUP(B1051,辅助信息!E:M,9,FALSE)</f>
        <v>#N/A</v>
      </c>
      <c r="R1051" s="26"/>
    </row>
    <row r="1052" hidden="1" spans="2:18">
      <c r="B1052" s="40" t="s">
        <v>25</v>
      </c>
      <c r="C1052" s="70">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8"/>
      <c r="M1052" s="91">
        <v>45749</v>
      </c>
      <c r="O1052" s="62">
        <f ca="1" t="shared" si="38"/>
        <v>0</v>
      </c>
      <c r="P1052" s="62">
        <f ca="1" t="shared" si="37"/>
        <v>211</v>
      </c>
      <c r="Q1052" s="26" t="e">
        <f>VLOOKUP(B1052,辅助信息!E:M,9,FALSE)</f>
        <v>#N/A</v>
      </c>
      <c r="R1052" s="26"/>
    </row>
    <row r="1053" hidden="1" spans="2:18">
      <c r="B1053" s="40" t="s">
        <v>25</v>
      </c>
      <c r="C1053" s="70">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6"/>
      <c r="M1053" s="91">
        <v>45749</v>
      </c>
      <c r="O1053" s="62">
        <f ca="1" t="shared" si="38"/>
        <v>0</v>
      </c>
      <c r="P1053" s="62">
        <f ca="1" t="shared" si="37"/>
        <v>211</v>
      </c>
      <c r="Q1053" s="26" t="e">
        <f>VLOOKUP(B1053,辅助信息!E:M,9,FALSE)</f>
        <v>#N/A</v>
      </c>
      <c r="R1053" s="26"/>
    </row>
    <row r="1054" hidden="1" spans="2:18">
      <c r="B1054" s="40" t="s">
        <v>29</v>
      </c>
      <c r="C1054" s="70">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1">
        <v>45750</v>
      </c>
      <c r="O1054" s="62">
        <f ca="1" t="shared" si="38"/>
        <v>0</v>
      </c>
      <c r="P1054" s="62">
        <f ca="1" t="shared" si="37"/>
        <v>210</v>
      </c>
      <c r="Q1054" s="26" t="e">
        <f>VLOOKUP(B1054,辅助信息!E:M,9,FALSE)</f>
        <v>#N/A</v>
      </c>
      <c r="R1054" s="26"/>
    </row>
    <row r="1055" hidden="1" spans="2:18">
      <c r="B1055" s="40" t="s">
        <v>29</v>
      </c>
      <c r="C1055" s="70">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6"/>
      <c r="M1055" s="91">
        <v>45750</v>
      </c>
      <c r="O1055" s="62">
        <f ca="1" t="shared" si="38"/>
        <v>0</v>
      </c>
      <c r="P1055" s="62">
        <f ca="1" t="shared" si="37"/>
        <v>210</v>
      </c>
      <c r="Q1055" s="26" t="e">
        <f>VLOOKUP(B1055,辅助信息!E:M,9,FALSE)</f>
        <v>#N/A</v>
      </c>
      <c r="R1055" s="26"/>
    </row>
    <row r="1056" hidden="1" spans="2:18">
      <c r="B1056" s="40" t="s">
        <v>78</v>
      </c>
      <c r="C1056" s="70">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1">
        <v>45747</v>
      </c>
      <c r="O1056" s="62">
        <f ca="1" t="shared" si="38"/>
        <v>0</v>
      </c>
      <c r="P1056" s="62">
        <f ca="1" t="shared" si="37"/>
        <v>213</v>
      </c>
      <c r="Q1056" s="26" t="e">
        <f>VLOOKUP(B1056,辅助信息!E:M,9,FALSE)</f>
        <v>#N/A</v>
      </c>
      <c r="R1056" s="26"/>
    </row>
    <row r="1057" hidden="1" spans="2:18">
      <c r="B1057" s="40" t="s">
        <v>78</v>
      </c>
      <c r="C1057" s="70">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8"/>
      <c r="M1057" s="91">
        <v>45747</v>
      </c>
      <c r="O1057" s="62">
        <f ca="1" t="shared" si="38"/>
        <v>0</v>
      </c>
      <c r="P1057" s="62">
        <f ca="1" t="shared" si="37"/>
        <v>213</v>
      </c>
      <c r="Q1057" s="26" t="e">
        <f>VLOOKUP(B1057,辅助信息!E:M,9,FALSE)</f>
        <v>#N/A</v>
      </c>
      <c r="R1057" s="26"/>
    </row>
    <row r="1058" hidden="1" spans="2:18">
      <c r="B1058" s="40" t="s">
        <v>78</v>
      </c>
      <c r="C1058" s="70">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6"/>
      <c r="M1058" s="91">
        <v>45747</v>
      </c>
      <c r="O1058" s="62">
        <f ca="1" t="shared" si="38"/>
        <v>0</v>
      </c>
      <c r="P1058" s="62">
        <f ca="1" t="shared" si="37"/>
        <v>213</v>
      </c>
      <c r="Q1058" s="26" t="e">
        <f>VLOOKUP(B1058,辅助信息!E:M,9,FALSE)</f>
        <v>#N/A</v>
      </c>
      <c r="R1058" s="26"/>
    </row>
    <row r="1059" hidden="1" spans="2:18">
      <c r="B1059" s="40" t="s">
        <v>54</v>
      </c>
      <c r="C1059" s="70">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1">
        <v>45747</v>
      </c>
      <c r="O1059" s="62">
        <f ca="1" t="shared" si="38"/>
        <v>0</v>
      </c>
      <c r="P1059" s="62">
        <f ca="1" t="shared" si="37"/>
        <v>213</v>
      </c>
      <c r="Q1059" s="26" t="e">
        <f>VLOOKUP(B1059,辅助信息!E:M,9,FALSE)</f>
        <v>#N/A</v>
      </c>
      <c r="R1059" s="26"/>
    </row>
    <row r="1060" hidden="1" spans="2:18">
      <c r="B1060" s="40" t="s">
        <v>54</v>
      </c>
      <c r="C1060" s="70">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8"/>
      <c r="M1060" s="91">
        <v>45747</v>
      </c>
      <c r="O1060" s="62">
        <f ca="1" t="shared" si="38"/>
        <v>0</v>
      </c>
      <c r="P1060" s="62">
        <f ca="1" t="shared" si="37"/>
        <v>213</v>
      </c>
      <c r="Q1060" s="26" t="e">
        <f>VLOOKUP(B1060,辅助信息!E:M,9,FALSE)</f>
        <v>#N/A</v>
      </c>
      <c r="R1060" s="26"/>
    </row>
    <row r="1061" hidden="1" spans="2:18">
      <c r="B1061" s="40" t="s">
        <v>54</v>
      </c>
      <c r="C1061" s="70">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6"/>
      <c r="M1061" s="91">
        <v>45747</v>
      </c>
      <c r="O1061" s="62">
        <f ca="1" t="shared" si="38"/>
        <v>0</v>
      </c>
      <c r="P1061" s="62">
        <f ca="1" t="shared" si="37"/>
        <v>213</v>
      </c>
      <c r="Q1061" s="26" t="e">
        <f>VLOOKUP(B1061,辅助信息!E:M,9,FALSE)</f>
        <v>#N/A</v>
      </c>
      <c r="R1061" s="26"/>
    </row>
    <row r="1062" hidden="1" spans="2:18">
      <c r="B1062" s="40" t="s">
        <v>89</v>
      </c>
      <c r="C1062" s="70">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1">
        <v>45747</v>
      </c>
      <c r="O1062" s="62">
        <f ca="1" t="shared" si="38"/>
        <v>0</v>
      </c>
      <c r="P1062" s="62">
        <f ca="1" t="shared" si="37"/>
        <v>213</v>
      </c>
      <c r="Q1062" s="26" t="str">
        <f>VLOOKUP(B1062,辅助信息!E:M,9,FALSE)</f>
        <v>ZTWM-CDGS-XS-2024-0248-五冶钢构-南充市医学院项目</v>
      </c>
      <c r="R1062" s="26"/>
    </row>
    <row r="1063" hidden="1" spans="2:18">
      <c r="B1063" s="40" t="s">
        <v>89</v>
      </c>
      <c r="C1063" s="70">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8"/>
      <c r="M1063" s="91">
        <v>45747</v>
      </c>
      <c r="O1063" s="62">
        <f ca="1" t="shared" si="38"/>
        <v>0</v>
      </c>
      <c r="P1063" s="62">
        <f ca="1" t="shared" si="37"/>
        <v>213</v>
      </c>
      <c r="Q1063" s="26" t="str">
        <f>VLOOKUP(B1063,辅助信息!E:M,9,FALSE)</f>
        <v>ZTWM-CDGS-XS-2024-0248-五冶钢构-南充市医学院项目</v>
      </c>
      <c r="R1063" s="26"/>
    </row>
    <row r="1064" hidden="1" spans="2:18">
      <c r="B1064" s="40" t="s">
        <v>89</v>
      </c>
      <c r="C1064" s="70">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8"/>
      <c r="M1064" s="91">
        <v>45747</v>
      </c>
      <c r="O1064" s="62">
        <f ca="1" t="shared" si="38"/>
        <v>0</v>
      </c>
      <c r="P1064" s="62">
        <f ca="1" t="shared" si="37"/>
        <v>213</v>
      </c>
      <c r="Q1064" s="26" t="str">
        <f>VLOOKUP(B1064,辅助信息!E:M,9,FALSE)</f>
        <v>ZTWM-CDGS-XS-2024-0248-五冶钢构-南充市医学院项目</v>
      </c>
      <c r="R1064" s="26"/>
    </row>
    <row r="1065" hidden="1" spans="2:18">
      <c r="B1065" s="40" t="s">
        <v>89</v>
      </c>
      <c r="C1065" s="70">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6"/>
      <c r="M1065" s="91">
        <v>45747</v>
      </c>
      <c r="O1065" s="62">
        <f ca="1" t="shared" si="38"/>
        <v>0</v>
      </c>
      <c r="P1065" s="62">
        <f ca="1" t="shared" si="37"/>
        <v>213</v>
      </c>
      <c r="Q1065" s="26" t="str">
        <f>VLOOKUP(B1065,辅助信息!E:M,9,FALSE)</f>
        <v>ZTWM-CDGS-XS-2024-0248-五冶钢构-南充市医学院项目</v>
      </c>
      <c r="R1065" s="26"/>
    </row>
    <row r="1066" hidden="1" spans="2:18">
      <c r="B1066" s="40" t="s">
        <v>127</v>
      </c>
      <c r="C1066" s="70">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1">
        <v>45747</v>
      </c>
      <c r="O1066" s="62">
        <f ca="1" t="shared" si="38"/>
        <v>0</v>
      </c>
      <c r="P1066" s="62">
        <f ca="1" t="shared" si="37"/>
        <v>213</v>
      </c>
      <c r="Q1066" s="26" t="str">
        <f>VLOOKUP(B1066,辅助信息!E:M,9,FALSE)</f>
        <v>ZTWM-CDGS-XS-2024-0248-五冶钢构-南充市医学院项目</v>
      </c>
      <c r="R1066" s="26"/>
    </row>
    <row r="1067" hidden="1" spans="2:18">
      <c r="B1067" s="40" t="s">
        <v>127</v>
      </c>
      <c r="C1067" s="70">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8"/>
      <c r="M1067" s="91">
        <v>45747</v>
      </c>
      <c r="O1067" s="62">
        <f ca="1" t="shared" si="38"/>
        <v>0</v>
      </c>
      <c r="P1067" s="62">
        <f ca="1" t="shared" si="37"/>
        <v>213</v>
      </c>
      <c r="Q1067" s="26" t="str">
        <f>VLOOKUP(B1067,辅助信息!E:M,9,FALSE)</f>
        <v>ZTWM-CDGS-XS-2024-0248-五冶钢构-南充市医学院项目</v>
      </c>
      <c r="R1067" s="26"/>
    </row>
    <row r="1068" hidden="1" spans="2:18">
      <c r="B1068" s="40" t="s">
        <v>127</v>
      </c>
      <c r="C1068" s="70">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6"/>
      <c r="M1068" s="91">
        <v>45747</v>
      </c>
      <c r="O1068" s="62">
        <f ca="1" t="shared" si="38"/>
        <v>0</v>
      </c>
      <c r="P1068" s="62">
        <f ca="1" t="shared" si="37"/>
        <v>213</v>
      </c>
      <c r="Q1068" s="26" t="str">
        <f>VLOOKUP(B1068,辅助信息!E:M,9,FALSE)</f>
        <v>ZTWM-CDGS-XS-2024-0248-五冶钢构-南充市医学院项目</v>
      </c>
      <c r="R1068" s="26"/>
    </row>
    <row r="1069" hidden="1" spans="2:18">
      <c r="B1069" s="40" t="s">
        <v>69</v>
      </c>
      <c r="C1069" s="70">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7" t="str">
        <f>VLOOKUP(B1069,辅助信息!E:J,6,FALSE)</f>
        <v>控制炉批号！多了现场不收！,优先安排达钢,提前联系到场规格及数量</v>
      </c>
      <c r="M1069" s="91">
        <v>45768</v>
      </c>
      <c r="O1069" s="62">
        <f ca="1" t="shared" si="38"/>
        <v>0</v>
      </c>
      <c r="P1069" s="62">
        <f ca="1" t="shared" si="37"/>
        <v>192</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0">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7" t="str">
        <f>VLOOKUP(B1070,辅助信息!E:J,6,FALSE)</f>
        <v>控制炉批号！多了现场不收！,优先安排达钢,提前联系到场规格及数量</v>
      </c>
      <c r="M1070" s="91">
        <v>45768</v>
      </c>
      <c r="O1070" s="62">
        <f ca="1" t="shared" si="38"/>
        <v>0</v>
      </c>
      <c r="P1070" s="62">
        <f ca="1" t="shared" si="37"/>
        <v>192</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0">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7" t="str">
        <f>VLOOKUP(B1071,辅助信息!E:J,6,FALSE)</f>
        <v>控制炉批号！多了现场不收！,优先安排达钢,提前联系到场规格及数量</v>
      </c>
      <c r="M1071" s="91">
        <v>45768</v>
      </c>
      <c r="O1071" s="62">
        <f ca="1" t="shared" si="38"/>
        <v>0</v>
      </c>
      <c r="P1071" s="62">
        <f ca="1" t="shared" si="37"/>
        <v>192</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0">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7" t="str">
        <f>VLOOKUP(B1072,辅助信息!E:J,6,FALSE)</f>
        <v>控制炉批号！多了现场不收！,优先安排达钢,提前联系到场规格及数量</v>
      </c>
      <c r="M1072" s="91">
        <v>45768</v>
      </c>
      <c r="O1072" s="62">
        <f ca="1" t="shared" si="38"/>
        <v>0</v>
      </c>
      <c r="P1072" s="62">
        <f ca="1" t="shared" si="37"/>
        <v>192</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2">
        <f>G1073-H1073</f>
        <v>0</v>
      </c>
      <c r="B1073" s="40" t="s">
        <v>128</v>
      </c>
      <c r="C1073" s="70">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7" t="e">
        <f>VLOOKUP(B1073,辅助信息!E:J,6,FALSE)</f>
        <v>#N/A</v>
      </c>
      <c r="M1073" s="91">
        <v>45768</v>
      </c>
      <c r="O1073" s="62">
        <f ca="1" t="shared" si="38"/>
        <v>0</v>
      </c>
      <c r="P1073" s="62">
        <f ca="1" t="shared" si="37"/>
        <v>192</v>
      </c>
      <c r="Q1073" s="26" t="e">
        <f>VLOOKUP(B1073,辅助信息!E:M,9,FALSE)</f>
        <v>#N/A</v>
      </c>
      <c r="R1073" s="26" vm="1" t="e">
        <f>_xlfn._xlws.FILTER(辅助信息!D:D,辅助信息!E:E=B1073)</f>
        <v>#VALUE!</v>
      </c>
    </row>
    <row r="1074" hidden="1" spans="1:18">
      <c r="A1074" s="62">
        <f>G1074-H1074</f>
        <v>0</v>
      </c>
      <c r="B1074" s="40" t="s">
        <v>128</v>
      </c>
      <c r="C1074" s="70">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7" t="e">
        <f>VLOOKUP(B1074,辅助信息!E:J,6,FALSE)</f>
        <v>#N/A</v>
      </c>
      <c r="M1074" s="91">
        <v>45768</v>
      </c>
      <c r="O1074" s="62">
        <f ca="1" t="shared" si="38"/>
        <v>0</v>
      </c>
      <c r="P1074" s="62">
        <f ca="1" t="shared" si="37"/>
        <v>192</v>
      </c>
      <c r="Q1074" s="26" t="e">
        <f>VLOOKUP(B1074,辅助信息!E:M,9,FALSE)</f>
        <v>#N/A</v>
      </c>
      <c r="R1074" s="26" vm="1" t="e">
        <f>_xlfn._xlws.FILTER(辅助信息!D:D,辅助信息!E:E=B1074)</f>
        <v>#VALUE!</v>
      </c>
    </row>
    <row r="1075" hidden="1" spans="2:18">
      <c r="B1075" s="40" t="s">
        <v>64</v>
      </c>
      <c r="C1075" s="70">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7" t="e">
        <f>VLOOKUP(B1075,辅助信息!E:J,6,FALSE)</f>
        <v>#N/A</v>
      </c>
      <c r="M1075" s="91">
        <v>45768</v>
      </c>
      <c r="O1075" s="62">
        <f ca="1" t="shared" si="38"/>
        <v>0</v>
      </c>
      <c r="P1075" s="62">
        <f ca="1" t="shared" si="37"/>
        <v>192</v>
      </c>
      <c r="Q1075" s="26" t="e">
        <f>VLOOKUP(B1075,辅助信息!E:M,9,FALSE)</f>
        <v>#N/A</v>
      </c>
      <c r="R1075" s="26" vm="1" t="e">
        <f>_xlfn._xlws.FILTER(辅助信息!D:D,辅助信息!E:E=B1075)</f>
        <v>#VALUE!</v>
      </c>
    </row>
    <row r="1076" hidden="1" spans="2:18">
      <c r="B1076" s="40" t="s">
        <v>64</v>
      </c>
      <c r="C1076" s="70">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7" t="e">
        <f>VLOOKUP(B1076,辅助信息!E:J,6,FALSE)</f>
        <v>#N/A</v>
      </c>
      <c r="M1076" s="91">
        <v>45768</v>
      </c>
      <c r="O1076" s="62">
        <f ca="1" t="shared" si="38"/>
        <v>0</v>
      </c>
      <c r="P1076" s="62">
        <f ca="1" t="shared" ref="P1076:P1139" si="39">IF(M1076="","",IF(N1076&lt;&gt;"",MAX(N1076-M1076,0),IF(TODAY()&gt;M1076,TODAY()-M1076,0)))</f>
        <v>192</v>
      </c>
      <c r="Q1076" s="26" t="e">
        <f>VLOOKUP(B1076,辅助信息!E:M,9,FALSE)</f>
        <v>#N/A</v>
      </c>
      <c r="R1076" s="26" vm="1" t="e">
        <f>_xlfn._xlws.FILTER(辅助信息!D:D,辅助信息!E:E=B1076)</f>
        <v>#VALUE!</v>
      </c>
    </row>
    <row r="1077" hidden="1" spans="2:18">
      <c r="B1077" s="40" t="s">
        <v>64</v>
      </c>
      <c r="C1077" s="70">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7" t="e">
        <f>VLOOKUP(B1077,辅助信息!E:J,6,FALSE)</f>
        <v>#N/A</v>
      </c>
      <c r="M1077" s="91">
        <v>45768</v>
      </c>
      <c r="O1077" s="62">
        <f ca="1" t="shared" si="38"/>
        <v>0</v>
      </c>
      <c r="P1077" s="62">
        <f ca="1" t="shared" si="39"/>
        <v>192</v>
      </c>
      <c r="Q1077" s="26" t="e">
        <f>VLOOKUP(B1077,辅助信息!E:M,9,FALSE)</f>
        <v>#N/A</v>
      </c>
      <c r="R1077" s="26" vm="1" t="e">
        <f>_xlfn._xlws.FILTER(辅助信息!D:D,辅助信息!E:E=B1077)</f>
        <v>#VALUE!</v>
      </c>
    </row>
    <row r="1078" hidden="1" spans="2:18">
      <c r="B1078" s="40" t="s">
        <v>64</v>
      </c>
      <c r="C1078" s="70">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7" t="e">
        <f>VLOOKUP(B1078,辅助信息!E:J,6,FALSE)</f>
        <v>#N/A</v>
      </c>
      <c r="M1078" s="91">
        <v>45768</v>
      </c>
      <c r="O1078" s="62">
        <f ca="1" t="shared" si="38"/>
        <v>0</v>
      </c>
      <c r="P1078" s="62">
        <f ca="1" t="shared" si="39"/>
        <v>192</v>
      </c>
      <c r="Q1078" s="26" t="e">
        <f>VLOOKUP(B1078,辅助信息!E:M,9,FALSE)</f>
        <v>#N/A</v>
      </c>
      <c r="R1078" s="26" vm="1" t="e">
        <f>_xlfn._xlws.FILTER(辅助信息!D:D,辅助信息!E:E=B1078)</f>
        <v>#VALUE!</v>
      </c>
    </row>
    <row r="1079" hidden="1" spans="2:18">
      <c r="B1079" s="40" t="s">
        <v>64</v>
      </c>
      <c r="C1079" s="70">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7" t="e">
        <f>VLOOKUP(B1079,辅助信息!E:J,6,FALSE)</f>
        <v>#N/A</v>
      </c>
      <c r="M1079" s="91">
        <v>45768</v>
      </c>
      <c r="O1079" s="62">
        <f ca="1" t="shared" si="38"/>
        <v>0</v>
      </c>
      <c r="P1079" s="62">
        <f ca="1" t="shared" si="39"/>
        <v>192</v>
      </c>
      <c r="Q1079" s="26" t="e">
        <f>VLOOKUP(B1079,辅助信息!E:M,9,FALSE)</f>
        <v>#N/A</v>
      </c>
      <c r="R1079" s="26" vm="1" t="e">
        <f>_xlfn._xlws.FILTER(辅助信息!D:D,辅助信息!E:E=B1079)</f>
        <v>#VALUE!</v>
      </c>
    </row>
    <row r="1080" hidden="1" spans="2:18">
      <c r="B1080" s="40" t="s">
        <v>47</v>
      </c>
      <c r="C1080" s="70">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7" t="str">
        <f>VLOOKUP(B1080,辅助信息!E:J,6,FALSE)</f>
        <v>控制炉批号！多了现场不收！,优先安排达钢,提前联系到场规格及数量</v>
      </c>
      <c r="M1080" s="91">
        <v>45769</v>
      </c>
      <c r="O1080" s="62">
        <f ca="1" t="shared" si="38"/>
        <v>0</v>
      </c>
      <c r="P1080" s="62">
        <f ca="1" t="shared" si="39"/>
        <v>191</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0">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7" t="str">
        <f>VLOOKUP(B1081,辅助信息!E:J,6,FALSE)</f>
        <v>控制炉批号！多了现场不收！,优先安排达钢,提前联系到场规格及数量</v>
      </c>
      <c r="M1081" s="91">
        <v>45769</v>
      </c>
      <c r="O1081" s="62">
        <f ca="1" t="shared" si="38"/>
        <v>0</v>
      </c>
      <c r="P1081" s="62">
        <f ca="1" t="shared" si="39"/>
        <v>191</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0">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7" t="str">
        <f>VLOOKUP(B1082,辅助信息!E:J,6,FALSE)</f>
        <v>控制炉批号！多了现场不收！,优先安排达钢,提前联系到场规格及数量</v>
      </c>
      <c r="M1082" s="91">
        <v>45769</v>
      </c>
      <c r="O1082" s="62">
        <f ca="1" t="shared" si="38"/>
        <v>0</v>
      </c>
      <c r="P1082" s="62">
        <f ca="1" t="shared" si="39"/>
        <v>191</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0">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7" t="str">
        <f>VLOOKUP(B1083,辅助信息!E:J,6,FALSE)</f>
        <v>控制炉批号！多了现场不收！,优先安排达钢,提前联系到场规格及数量</v>
      </c>
      <c r="M1083" s="91">
        <v>45769</v>
      </c>
      <c r="O1083" s="62">
        <f ca="1" t="shared" si="38"/>
        <v>0</v>
      </c>
      <c r="P1083" s="62">
        <f ca="1" t="shared" si="39"/>
        <v>191</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0">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7" t="str">
        <f>VLOOKUP(B1084,辅助信息!E:J,6,FALSE)</f>
        <v>控制炉批号！多了现场不收！,优先安排达钢,提前联系到场规格及数量</v>
      </c>
      <c r="M1084" s="91">
        <v>45769</v>
      </c>
      <c r="O1084" s="62">
        <f ca="1" t="shared" si="38"/>
        <v>0</v>
      </c>
      <c r="P1084" s="62">
        <f ca="1" t="shared" si="39"/>
        <v>191</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0">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7" t="str">
        <f>VLOOKUP(B1085,辅助信息!E:J,6,FALSE)</f>
        <v>控制炉批号！多了现场不收！,优先安排达钢,提前联系到场规格及数量</v>
      </c>
      <c r="M1085" s="91">
        <v>45769</v>
      </c>
      <c r="O1085" s="62">
        <f ca="1" t="shared" si="38"/>
        <v>0</v>
      </c>
      <c r="P1085" s="62">
        <f ca="1" t="shared" si="39"/>
        <v>191</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0">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7" t="str">
        <f>VLOOKUP(B1086,辅助信息!E:J,6,FALSE)</f>
        <v>控制炉批号！多了现场不收！,优先安排达钢,提前联系到场规格及数量</v>
      </c>
      <c r="M1086" s="91">
        <v>45769</v>
      </c>
      <c r="O1086" s="62">
        <f ca="1" t="shared" si="38"/>
        <v>0</v>
      </c>
      <c r="P1086" s="62">
        <f ca="1" t="shared" si="39"/>
        <v>191</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0">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7" t="str">
        <f>VLOOKUP(B1087,辅助信息!E:J,6,FALSE)</f>
        <v>控制炉批号！多了现场不收！,优先安排达钢,提前联系到场规格及数量</v>
      </c>
      <c r="M1087" s="91">
        <v>45769</v>
      </c>
      <c r="O1087" s="62">
        <f ca="1" t="shared" ref="O1087:O1150" si="40">IF(OR(M1087="",N1087&lt;&gt;""),"",MAX(M1087-TODAY(),0))</f>
        <v>0</v>
      </c>
      <c r="P1087" s="62">
        <f ca="1" t="shared" si="39"/>
        <v>191</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0">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7" t="str">
        <f>VLOOKUP(B1088,辅助信息!E:J,6,FALSE)</f>
        <v>控制炉批号！多了现场不收！,优先安排达钢,提前联系到场规格及数量</v>
      </c>
      <c r="M1088" s="91">
        <v>45769</v>
      </c>
      <c r="O1088" s="62">
        <f ca="1" t="shared" si="40"/>
        <v>0</v>
      </c>
      <c r="P1088" s="62">
        <f ca="1" t="shared" si="39"/>
        <v>191</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0">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7" t="str">
        <f>VLOOKUP(B1089,辅助信息!E:J,6,FALSE)</f>
        <v>控制炉批号！多了现场不收！,优先安排达钢,提前联系到场规格及数量</v>
      </c>
      <c r="M1089" s="91">
        <v>45769</v>
      </c>
      <c r="O1089" s="62">
        <f ca="1" t="shared" si="40"/>
        <v>0</v>
      </c>
      <c r="P1089" s="62">
        <f ca="1" t="shared" si="39"/>
        <v>191</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0">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09" t="str">
        <f>VLOOKUP(B1090,辅助信息!E:J,6,FALSE)</f>
        <v>现场禁止使用氢能源挂车！优先威钢发货,我方卸车,新老国标钢厂不加价可直发，因陕钢多次出现磅差，项目拒绝使用</v>
      </c>
      <c r="M1090" s="91">
        <v>45769</v>
      </c>
      <c r="O1090" s="62">
        <f ca="1" t="shared" si="40"/>
        <v>0</v>
      </c>
      <c r="P1090" s="62">
        <f ca="1" t="shared" si="39"/>
        <v>191</v>
      </c>
      <c r="Q1090" s="29" t="str">
        <f>VLOOKUP(B1090,辅助信息!E:M,9,FALSE)</f>
        <v>ZTWM-CDGS-XS-2024-0030-华西集采-简州大道</v>
      </c>
      <c r="R1090" s="29" t="str">
        <f>_xlfn._xlws.FILTER(辅助信息!D:D,辅助信息!E:E=B1090)</f>
        <v>华西简阳西城嘉苑</v>
      </c>
    </row>
    <row r="1091" hidden="1" spans="2:18">
      <c r="B1091" s="40" t="s">
        <v>81</v>
      </c>
      <c r="C1091" s="70">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09" t="str">
        <f>VLOOKUP(B1091,辅助信息!E:J,6,FALSE)</f>
        <v>现场禁止使用氢能源挂车！优先威钢发货,我方卸车,新老国标钢厂不加价可直发，因陕钢多次出现磅差，项目拒绝使用</v>
      </c>
      <c r="M1091" s="91">
        <v>45769</v>
      </c>
      <c r="O1091" s="62">
        <f ca="1" t="shared" si="40"/>
        <v>0</v>
      </c>
      <c r="P1091" s="62">
        <f ca="1" t="shared" si="39"/>
        <v>191</v>
      </c>
      <c r="Q1091" s="29" t="str">
        <f>VLOOKUP(B1091,辅助信息!E:M,9,FALSE)</f>
        <v>ZTWM-CDGS-XS-2024-0030-华西集采-简州大道</v>
      </c>
      <c r="R1091" s="29" t="str">
        <f>_xlfn._xlws.FILTER(辅助信息!D:D,辅助信息!E:E=B1091)</f>
        <v>华西简阳西城嘉苑</v>
      </c>
    </row>
    <row r="1092" hidden="1" spans="2:18">
      <c r="B1092" s="40" t="s">
        <v>81</v>
      </c>
      <c r="C1092" s="70">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09" t="str">
        <f>VLOOKUP(B1092,辅助信息!E:J,6,FALSE)</f>
        <v>现场禁止使用氢能源挂车！优先威钢发货,我方卸车,新老国标钢厂不加价可直发，因陕钢多次出现磅差，项目拒绝使用</v>
      </c>
      <c r="M1092" s="91">
        <v>45769</v>
      </c>
      <c r="O1092" s="62">
        <f ca="1" t="shared" si="40"/>
        <v>0</v>
      </c>
      <c r="P1092" s="62">
        <f ca="1" t="shared" si="39"/>
        <v>191</v>
      </c>
      <c r="Q1092" s="29" t="str">
        <f>VLOOKUP(B1092,辅助信息!E:M,9,FALSE)</f>
        <v>ZTWM-CDGS-XS-2024-0030-华西集采-简州大道</v>
      </c>
      <c r="R1092" s="29" t="str">
        <f>_xlfn._xlws.FILTER(辅助信息!D:D,辅助信息!E:E=B1092)</f>
        <v>华西简阳西城嘉苑</v>
      </c>
    </row>
    <row r="1093" hidden="1" spans="2:18">
      <c r="B1093" s="40" t="s">
        <v>81</v>
      </c>
      <c r="C1093" s="70">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09" t="str">
        <f>VLOOKUP(B1093,辅助信息!E:J,6,FALSE)</f>
        <v>现场禁止使用氢能源挂车！优先威钢发货,我方卸车,新老国标钢厂不加价可直发，因陕钢多次出现磅差，项目拒绝使用</v>
      </c>
      <c r="M1093" s="91">
        <v>45769</v>
      </c>
      <c r="O1093" s="62">
        <f ca="1" t="shared" si="40"/>
        <v>0</v>
      </c>
      <c r="P1093" s="62">
        <f ca="1" t="shared" si="39"/>
        <v>191</v>
      </c>
      <c r="Q1093" s="29" t="str">
        <f>VLOOKUP(B1093,辅助信息!E:M,9,FALSE)</f>
        <v>ZTWM-CDGS-XS-2024-0030-华西集采-简州大道</v>
      </c>
      <c r="R1093" s="29" t="str">
        <f>_xlfn._xlws.FILTER(辅助信息!D:D,辅助信息!E:E=B1093)</f>
        <v>华西简阳西城嘉苑</v>
      </c>
    </row>
    <row r="1094" hidden="1" spans="2:18">
      <c r="B1094" s="40" t="s">
        <v>81</v>
      </c>
      <c r="C1094" s="70">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09" t="str">
        <f>VLOOKUP(B1094,辅助信息!E:J,6,FALSE)</f>
        <v>现场禁止使用氢能源挂车！优先威钢发货,我方卸车,新老国标钢厂不加价可直发，因陕钢多次出现磅差，项目拒绝使用</v>
      </c>
      <c r="M1094" s="91">
        <v>45769</v>
      </c>
      <c r="O1094" s="62">
        <f ca="1" t="shared" si="40"/>
        <v>0</v>
      </c>
      <c r="P1094" s="62">
        <f ca="1" t="shared" si="39"/>
        <v>191</v>
      </c>
      <c r="Q1094" s="29" t="str">
        <f>VLOOKUP(B1094,辅助信息!E:M,9,FALSE)</f>
        <v>ZTWM-CDGS-XS-2024-0030-华西集采-简州大道</v>
      </c>
      <c r="R1094" s="29" t="str">
        <f>_xlfn._xlws.FILTER(辅助信息!D:D,辅助信息!E:E=B1094)</f>
        <v>华西简阳西城嘉苑</v>
      </c>
    </row>
    <row r="1095" hidden="1" spans="2:18">
      <c r="B1095" s="40" t="s">
        <v>81</v>
      </c>
      <c r="C1095" s="70">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09" t="str">
        <f>VLOOKUP(B1095,辅助信息!E:J,6,FALSE)</f>
        <v>现场禁止使用氢能源挂车！优先威钢发货,我方卸车,新老国标钢厂不加价可直发，因陕钢多次出现磅差，项目拒绝使用</v>
      </c>
      <c r="M1095" s="91">
        <v>45769</v>
      </c>
      <c r="O1095" s="62">
        <f ca="1" t="shared" si="40"/>
        <v>0</v>
      </c>
      <c r="P1095" s="62">
        <f ca="1" t="shared" si="39"/>
        <v>191</v>
      </c>
      <c r="Q1095" s="29" t="str">
        <f>VLOOKUP(B1095,辅助信息!E:M,9,FALSE)</f>
        <v>ZTWM-CDGS-XS-2024-0030-华西集采-简州大道</v>
      </c>
      <c r="R1095" s="29" t="str">
        <f>_xlfn._xlws.FILTER(辅助信息!D:D,辅助信息!E:E=B1095)</f>
        <v>华西简阳西城嘉苑</v>
      </c>
    </row>
    <row r="1096" hidden="1" spans="2:18">
      <c r="B1096" s="40" t="s">
        <v>64</v>
      </c>
      <c r="C1096" s="70">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09" t="e">
        <f>VLOOKUP(B1096,辅助信息!E:J,6,FALSE)</f>
        <v>#N/A</v>
      </c>
      <c r="M1096" s="91">
        <v>45768</v>
      </c>
      <c r="O1096" s="62">
        <f ca="1" t="shared" si="40"/>
        <v>0</v>
      </c>
      <c r="P1096" s="62">
        <f ca="1" t="shared" si="39"/>
        <v>192</v>
      </c>
      <c r="Q1096" s="29" t="e">
        <f>VLOOKUP(B1096,辅助信息!E:M,9,FALSE)</f>
        <v>#N/A</v>
      </c>
      <c r="R1096" s="29" vm="1" t="e">
        <f>_xlfn._xlws.FILTER(辅助信息!D:D,辅助信息!E:E=B1096)</f>
        <v>#VALUE!</v>
      </c>
    </row>
    <row r="1097" hidden="1" spans="2:18">
      <c r="B1097" s="40" t="s">
        <v>47</v>
      </c>
      <c r="C1097" s="70">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09" t="str">
        <f>VLOOKUP(B1097,辅助信息!E:J,6,FALSE)</f>
        <v>控制炉批号！多了现场不收！,优先安排达钢,提前联系到场规格及数量</v>
      </c>
      <c r="M1097" s="91">
        <v>45769</v>
      </c>
      <c r="O1097" s="62">
        <f ca="1" t="shared" si="40"/>
        <v>0</v>
      </c>
      <c r="P1097" s="62">
        <f ca="1" t="shared" si="39"/>
        <v>191</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0">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09" t="str">
        <f>VLOOKUP(B1098,辅助信息!E:J,6,FALSE)</f>
        <v>控制炉批号！多了现场不收！,优先安排达钢,提前联系到场规格及数量</v>
      </c>
      <c r="M1098" s="91">
        <v>45769</v>
      </c>
      <c r="O1098" s="62">
        <f ca="1" t="shared" si="40"/>
        <v>0</v>
      </c>
      <c r="P1098" s="62">
        <f ca="1" t="shared" si="39"/>
        <v>191</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0">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09" t="str">
        <f>VLOOKUP(B1099,辅助信息!E:J,6,FALSE)</f>
        <v>控制炉批号！多了现场不收！,优先安排达钢,提前联系到场规格及数量</v>
      </c>
      <c r="M1099" s="91">
        <v>45769</v>
      </c>
      <c r="O1099" s="62">
        <f ca="1" t="shared" si="40"/>
        <v>0</v>
      </c>
      <c r="P1099" s="62">
        <f ca="1" t="shared" si="39"/>
        <v>191</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0">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09" t="str">
        <f>VLOOKUP(B1100,辅助信息!E:J,6,FALSE)</f>
        <v>控制炉批号！多了现场不收！,优先安排达钢,提前联系到场规格及数量</v>
      </c>
      <c r="M1100" s="91">
        <v>45769</v>
      </c>
      <c r="O1100" s="62">
        <f ca="1" t="shared" si="40"/>
        <v>0</v>
      </c>
      <c r="P1100" s="62">
        <f ca="1" t="shared" si="39"/>
        <v>191</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0">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09" t="str">
        <f>VLOOKUP(B1101,辅助信息!E:J,6,FALSE)</f>
        <v>控制炉批号！多了现场不收！,优先安排达钢,提前联系到场规格及数量</v>
      </c>
      <c r="M1101" s="91">
        <v>45769</v>
      </c>
      <c r="O1101" s="62">
        <f ca="1" t="shared" si="40"/>
        <v>0</v>
      </c>
      <c r="P1101" s="62">
        <f ca="1" t="shared" si="39"/>
        <v>191</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0">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09" t="str">
        <f>VLOOKUP(B1102,辅助信息!E:J,6,FALSE)</f>
        <v>控制炉批号！多了现场不收！,优先安排达钢,提前联系到场规格及数量</v>
      </c>
      <c r="M1102" s="91">
        <v>45769</v>
      </c>
      <c r="O1102" s="62">
        <f ca="1" t="shared" si="40"/>
        <v>0</v>
      </c>
      <c r="P1102" s="62">
        <f ca="1" t="shared" si="39"/>
        <v>191</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0">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09" t="e">
        <f>VLOOKUP(B1103,辅助信息!E:J,6,FALSE)</f>
        <v>#N/A</v>
      </c>
      <c r="M1103" s="91">
        <v>45772</v>
      </c>
      <c r="O1103" s="62">
        <f ca="1" t="shared" si="40"/>
        <v>0</v>
      </c>
      <c r="P1103" s="62">
        <f ca="1" t="shared" si="39"/>
        <v>188</v>
      </c>
      <c r="Q1103" s="29" t="e">
        <f>VLOOKUP(B1103,辅助信息!E:M,9,FALSE)</f>
        <v>#N/A</v>
      </c>
      <c r="R1103" s="29" vm="1" t="e">
        <f>_xlfn._xlws.FILTER(辅助信息!D:D,辅助信息!E:E=B1103)</f>
        <v>#VALUE!</v>
      </c>
    </row>
    <row r="1104" hidden="1" spans="2:18">
      <c r="B1104" s="40" t="s">
        <v>75</v>
      </c>
      <c r="C1104" s="70">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09" t="e">
        <f>VLOOKUP(B1104,辅助信息!E:J,6,FALSE)</f>
        <v>#N/A</v>
      </c>
      <c r="M1104" s="91">
        <v>45772</v>
      </c>
      <c r="O1104" s="62">
        <f ca="1" t="shared" si="40"/>
        <v>0</v>
      </c>
      <c r="P1104" s="62">
        <f ca="1" t="shared" si="39"/>
        <v>188</v>
      </c>
      <c r="Q1104" s="29" t="e">
        <f>VLOOKUP(B1104,辅助信息!E:M,9,FALSE)</f>
        <v>#N/A</v>
      </c>
      <c r="R1104" s="29" vm="1" t="e">
        <f>_xlfn._xlws.FILTER(辅助信息!D:D,辅助信息!E:E=B1104)</f>
        <v>#VALUE!</v>
      </c>
    </row>
    <row r="1105" hidden="1" spans="2:18">
      <c r="B1105" s="40" t="s">
        <v>75</v>
      </c>
      <c r="C1105" s="70">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09" t="e">
        <f>VLOOKUP(B1105,辅助信息!E:J,6,FALSE)</f>
        <v>#N/A</v>
      </c>
      <c r="M1105" s="91">
        <v>45772</v>
      </c>
      <c r="O1105" s="62">
        <f ca="1" t="shared" si="40"/>
        <v>0</v>
      </c>
      <c r="P1105" s="62">
        <f ca="1" t="shared" si="39"/>
        <v>188</v>
      </c>
      <c r="Q1105" s="29" t="e">
        <f>VLOOKUP(B1105,辅助信息!E:M,9,FALSE)</f>
        <v>#N/A</v>
      </c>
      <c r="R1105" s="29" vm="1" t="e">
        <f>_xlfn._xlws.FILTER(辅助信息!D:D,辅助信息!E:E=B1105)</f>
        <v>#VALUE!</v>
      </c>
    </row>
    <row r="1106" hidden="1" spans="2:18">
      <c r="B1106" s="40" t="s">
        <v>75</v>
      </c>
      <c r="C1106" s="70">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09" t="e">
        <f>VLOOKUP(B1106,辅助信息!E:J,6,FALSE)</f>
        <v>#N/A</v>
      </c>
      <c r="M1106" s="91">
        <v>45772</v>
      </c>
      <c r="O1106" s="62">
        <f ca="1" t="shared" si="40"/>
        <v>0</v>
      </c>
      <c r="P1106" s="62">
        <f ca="1" t="shared" si="39"/>
        <v>188</v>
      </c>
      <c r="Q1106" s="29" t="e">
        <f>VLOOKUP(B1106,辅助信息!E:M,9,FALSE)</f>
        <v>#N/A</v>
      </c>
      <c r="R1106" s="29" vm="1" t="e">
        <f>_xlfn._xlws.FILTER(辅助信息!D:D,辅助信息!E:E=B1106)</f>
        <v>#VALUE!</v>
      </c>
    </row>
    <row r="1107" hidden="1" spans="2:18">
      <c r="B1107" s="40" t="s">
        <v>75</v>
      </c>
      <c r="C1107" s="70">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09" t="e">
        <f>VLOOKUP(B1107,辅助信息!E:J,6,FALSE)</f>
        <v>#N/A</v>
      </c>
      <c r="M1107" s="91">
        <v>45772</v>
      </c>
      <c r="O1107" s="62">
        <f ca="1" t="shared" si="40"/>
        <v>0</v>
      </c>
      <c r="P1107" s="62">
        <f ca="1" t="shared" si="39"/>
        <v>188</v>
      </c>
      <c r="Q1107" s="29" t="e">
        <f>VLOOKUP(B1107,辅助信息!E:M,9,FALSE)</f>
        <v>#N/A</v>
      </c>
      <c r="R1107" s="29" vm="1" t="e">
        <f>_xlfn._xlws.FILTER(辅助信息!D:D,辅助信息!E:E=B1107)</f>
        <v>#VALUE!</v>
      </c>
    </row>
    <row r="1108" hidden="1" spans="2:18">
      <c r="B1108" s="40" t="s">
        <v>127</v>
      </c>
      <c r="C1108" s="70">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09" t="str">
        <f>VLOOKUP(B1108,辅助信息!E:J,6,FALSE)</f>
        <v>送货单：送货单位：南充思临新材料科技有限公司,收货单位：五冶集团川北(南充)建设有限公司,项目名称：南充医学科学产业园,送货车型13米,装货前联系收货人核实到场规格</v>
      </c>
      <c r="M1108" s="91">
        <v>45769</v>
      </c>
      <c r="O1108" s="62">
        <f ca="1" t="shared" si="40"/>
        <v>0</v>
      </c>
      <c r="P1108" s="62">
        <f ca="1" t="shared" si="39"/>
        <v>191</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0">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09" t="str">
        <f>VLOOKUP(B1109,辅助信息!E:J,6,FALSE)</f>
        <v>送货单：送货单位：南充思临新材料科技有限公司,收货单位：五冶集团川北(南充)建设有限公司,项目名称：南充医学科学产业园,送货车型13米,装货前联系收货人核实到场规格</v>
      </c>
      <c r="M1109" s="91">
        <v>45769</v>
      </c>
      <c r="O1109" s="62">
        <f ca="1" t="shared" si="40"/>
        <v>0</v>
      </c>
      <c r="P1109" s="62">
        <f ca="1" t="shared" si="39"/>
        <v>191</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0">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09" t="str">
        <f>VLOOKUP(B1110,辅助信息!E:J,6,FALSE)</f>
        <v>送货单：送货单位：南充思临新材料科技有限公司,收货单位：五冶集团川北(南充)建设有限公司,项目名称：南充医学科学产业园,送货车型13米,装货前联系收货人核实到场规格</v>
      </c>
      <c r="M1110" s="91">
        <v>45769</v>
      </c>
      <c r="O1110" s="62">
        <f ca="1" t="shared" si="40"/>
        <v>0</v>
      </c>
      <c r="P1110" s="62">
        <f ca="1" t="shared" si="39"/>
        <v>191</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0">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09" t="str">
        <f>VLOOKUP(B1111,辅助信息!E:J,6,FALSE)</f>
        <v>送货单：送货单位：南充思临新材料科技有限公司,收货单位：五冶集团川北(南充)建设有限公司,项目名称：南充医学科学产业园,送货车型13米,装货前联系收货人核实到场规格</v>
      </c>
      <c r="M1111" s="91">
        <v>45769</v>
      </c>
      <c r="O1111" s="62">
        <f ca="1" t="shared" si="40"/>
        <v>0</v>
      </c>
      <c r="P1111" s="62">
        <f ca="1" t="shared" si="39"/>
        <v>191</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0">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09" t="str">
        <f>VLOOKUP(B1112,辅助信息!E:J,6,FALSE)</f>
        <v>提前联系到场规格,一天到场车辆不低于2车</v>
      </c>
      <c r="M1112" s="91">
        <v>45769</v>
      </c>
      <c r="O1112" s="62">
        <f ca="1" t="shared" si="40"/>
        <v>0</v>
      </c>
      <c r="P1112" s="62">
        <f ca="1" t="shared" si="39"/>
        <v>191</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0">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09" t="str">
        <f>VLOOKUP(B1113,辅助信息!E:J,6,FALSE)</f>
        <v>提前联系到场规格,一天到场车辆不低于2车</v>
      </c>
      <c r="M1113" s="91">
        <v>45769</v>
      </c>
      <c r="O1113" s="62">
        <f ca="1" t="shared" si="40"/>
        <v>0</v>
      </c>
      <c r="P1113" s="62">
        <f ca="1" t="shared" si="39"/>
        <v>191</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0">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09" t="str">
        <f>VLOOKUP(B1114,辅助信息!E:J,6,FALSE)</f>
        <v>提前联系到场规格,一天到场车辆不低于2车</v>
      </c>
      <c r="M1114" s="91">
        <v>45769</v>
      </c>
      <c r="O1114" s="62">
        <f ca="1" t="shared" si="40"/>
        <v>0</v>
      </c>
      <c r="P1114" s="62">
        <f ca="1" t="shared" si="39"/>
        <v>191</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0">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09" t="str">
        <f>VLOOKUP(B1115,辅助信息!E:J,6,FALSE)</f>
        <v>提前联系到场规格,一天到场车辆不低于2车</v>
      </c>
      <c r="M1115" s="91">
        <v>45769</v>
      </c>
      <c r="O1115" s="62">
        <f ca="1" t="shared" si="40"/>
        <v>0</v>
      </c>
      <c r="P1115" s="62">
        <f ca="1" t="shared" si="39"/>
        <v>191</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2">
        <f t="shared" ref="A1116:A1122" si="41">G1116-H1116</f>
        <v>0</v>
      </c>
      <c r="B1116" s="40" t="s">
        <v>129</v>
      </c>
      <c r="C1116" s="70">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09" t="e">
        <f>VLOOKUP(B1116,辅助信息!E:J,6,FALSE)</f>
        <v>#N/A</v>
      </c>
      <c r="M1116" s="91">
        <v>45769</v>
      </c>
      <c r="O1116" s="62">
        <f ca="1" t="shared" si="40"/>
        <v>0</v>
      </c>
      <c r="P1116" s="62">
        <f ca="1" t="shared" si="39"/>
        <v>191</v>
      </c>
      <c r="Q1116" s="29" t="e">
        <f>VLOOKUP(B1116,辅助信息!E:M,9,FALSE)</f>
        <v>#N/A</v>
      </c>
      <c r="R1116" s="29" vm="1" t="e">
        <f>_xlfn._xlws.FILTER(辅助信息!D:D,辅助信息!E:E=B1116)</f>
        <v>#VALUE!</v>
      </c>
    </row>
    <row r="1117" hidden="1" spans="1:18">
      <c r="A1117" s="62">
        <f t="shared" si="41"/>
        <v>0</v>
      </c>
      <c r="B1117" s="40" t="s">
        <v>129</v>
      </c>
      <c r="C1117" s="70">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09" t="e">
        <f>VLOOKUP(B1117,辅助信息!E:J,6,FALSE)</f>
        <v>#N/A</v>
      </c>
      <c r="M1117" s="91">
        <v>45769</v>
      </c>
      <c r="O1117" s="62">
        <f ca="1" t="shared" si="40"/>
        <v>0</v>
      </c>
      <c r="P1117" s="62">
        <f ca="1" t="shared" si="39"/>
        <v>191</v>
      </c>
      <c r="Q1117" s="29" t="e">
        <f>VLOOKUP(B1117,辅助信息!E:M,9,FALSE)</f>
        <v>#N/A</v>
      </c>
      <c r="R1117" s="29" vm="1" t="e">
        <f>_xlfn._xlws.FILTER(辅助信息!D:D,辅助信息!E:E=B1117)</f>
        <v>#VALUE!</v>
      </c>
    </row>
    <row r="1118" hidden="1" spans="1:18">
      <c r="A1118" s="62">
        <f t="shared" si="41"/>
        <v>0</v>
      </c>
      <c r="B1118" s="40" t="s">
        <v>129</v>
      </c>
      <c r="C1118" s="70">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09" t="e">
        <f>VLOOKUP(B1118,辅助信息!E:J,6,FALSE)</f>
        <v>#N/A</v>
      </c>
      <c r="M1118" s="91">
        <v>45769</v>
      </c>
      <c r="O1118" s="62">
        <f ca="1" t="shared" si="40"/>
        <v>0</v>
      </c>
      <c r="P1118" s="62">
        <f ca="1" t="shared" si="39"/>
        <v>191</v>
      </c>
      <c r="Q1118" s="29" t="e">
        <f>VLOOKUP(B1118,辅助信息!E:M,9,FALSE)</f>
        <v>#N/A</v>
      </c>
      <c r="R1118" s="29" vm="1" t="e">
        <f>_xlfn._xlws.FILTER(辅助信息!D:D,辅助信息!E:E=B1118)</f>
        <v>#VALUE!</v>
      </c>
    </row>
    <row r="1119" hidden="1" spans="1:18">
      <c r="A1119" s="62">
        <f t="shared" si="41"/>
        <v>0</v>
      </c>
      <c r="B1119" s="40" t="s">
        <v>131</v>
      </c>
      <c r="C1119" s="70">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09" t="str">
        <f>VLOOKUP(B1119,辅助信息!E:J,6,FALSE)</f>
        <v>装货前联系收货人核实到场规格，货物最下面用方木垫下方便卸货</v>
      </c>
      <c r="M1119" s="91">
        <v>45769</v>
      </c>
      <c r="O1119" s="62">
        <f ca="1" t="shared" si="40"/>
        <v>0</v>
      </c>
      <c r="P1119" s="62">
        <f ca="1" t="shared" si="39"/>
        <v>191</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2">
        <f t="shared" si="41"/>
        <v>0</v>
      </c>
      <c r="B1120" s="40" t="s">
        <v>132</v>
      </c>
      <c r="C1120" s="70">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09" t="str">
        <f>VLOOKUP(B1120,辅助信息!E:J,6,FALSE)</f>
        <v>装货前联系收货人核实到场规格，货物最下面用方木垫下方便卸货</v>
      </c>
      <c r="M1120" s="91">
        <v>45769</v>
      </c>
      <c r="O1120" s="62">
        <f ca="1" t="shared" si="40"/>
        <v>0</v>
      </c>
      <c r="P1120" s="62">
        <f ca="1" t="shared" si="39"/>
        <v>191</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2">
        <f t="shared" si="41"/>
        <v>0</v>
      </c>
      <c r="B1121" s="40" t="s">
        <v>132</v>
      </c>
      <c r="C1121" s="70">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09" t="str">
        <f>VLOOKUP(B1121,辅助信息!E:J,6,FALSE)</f>
        <v>装货前联系收货人核实到场规格，货物最下面用方木垫下方便卸货</v>
      </c>
      <c r="M1121" s="91">
        <v>45769</v>
      </c>
      <c r="O1121" s="62">
        <f ca="1" t="shared" si="40"/>
        <v>0</v>
      </c>
      <c r="P1121" s="62">
        <f ca="1" t="shared" si="39"/>
        <v>191</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2">
        <f t="shared" si="41"/>
        <v>0</v>
      </c>
      <c r="B1122" s="40" t="s">
        <v>132</v>
      </c>
      <c r="C1122" s="70">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09" t="str">
        <f>VLOOKUP(B1122,辅助信息!E:J,6,FALSE)</f>
        <v>装货前联系收货人核实到场规格，货物最下面用方木垫下方便卸货</v>
      </c>
      <c r="M1122" s="91">
        <v>45769</v>
      </c>
      <c r="O1122" s="62">
        <f ca="1" t="shared" si="40"/>
        <v>0</v>
      </c>
      <c r="P1122" s="62">
        <f ca="1" t="shared" si="39"/>
        <v>191</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0">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09" t="str">
        <f>VLOOKUP(B1123,辅助信息!E:J,6,FALSE)</f>
        <v>提前联系到场规格及数量</v>
      </c>
      <c r="M1123" s="91">
        <v>45769</v>
      </c>
      <c r="O1123" s="62">
        <f ca="1" t="shared" si="40"/>
        <v>0</v>
      </c>
      <c r="P1123" s="62">
        <f ca="1" t="shared" si="39"/>
        <v>191</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0">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09" t="str">
        <f>VLOOKUP(B1124,辅助信息!E:J,6,FALSE)</f>
        <v>提前联系到场规格及数量</v>
      </c>
      <c r="M1124" s="91">
        <v>45769</v>
      </c>
      <c r="O1124" s="62">
        <f ca="1" t="shared" si="40"/>
        <v>0</v>
      </c>
      <c r="P1124" s="62">
        <f ca="1" t="shared" si="39"/>
        <v>191</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0">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09" t="str">
        <f>VLOOKUP(B1125,辅助信息!E:J,6,FALSE)</f>
        <v>提前联系到场规格及数量</v>
      </c>
      <c r="M1125" s="91">
        <v>45769</v>
      </c>
      <c r="O1125" s="62">
        <f ca="1" t="shared" si="40"/>
        <v>0</v>
      </c>
      <c r="P1125" s="62">
        <f ca="1" t="shared" si="39"/>
        <v>191</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0">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09" t="str">
        <f>VLOOKUP(B1126,辅助信息!E:J,6,FALSE)</f>
        <v>提前联系到场规格及数量</v>
      </c>
      <c r="M1126" s="91">
        <v>45769</v>
      </c>
      <c r="O1126" s="62">
        <f ca="1" t="shared" si="40"/>
        <v>0</v>
      </c>
      <c r="P1126" s="62">
        <f ca="1" t="shared" si="39"/>
        <v>191</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0">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09" t="str">
        <f>VLOOKUP(B1127,辅助信息!E:J,6,FALSE)</f>
        <v>提前联系到场规格及数量</v>
      </c>
      <c r="M1127" s="91">
        <v>45769</v>
      </c>
      <c r="O1127" s="62">
        <f ca="1" t="shared" si="40"/>
        <v>0</v>
      </c>
      <c r="P1127" s="62">
        <f ca="1" t="shared" si="39"/>
        <v>191</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7" t="s">
        <v>134</v>
      </c>
      <c r="B1128" s="40" t="s">
        <v>69</v>
      </c>
      <c r="C1128" s="70">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09" t="str">
        <f>VLOOKUP(B1128,辅助信息!E:J,6,FALSE)</f>
        <v>控制炉批号！多了现场不收！,优先安排达钢,提前联系到场规格及数量</v>
      </c>
      <c r="M1128" s="91">
        <v>45763</v>
      </c>
      <c r="O1128" s="62">
        <f ca="1" t="shared" si="40"/>
        <v>0</v>
      </c>
      <c r="P1128" s="62">
        <f ca="1" t="shared" si="39"/>
        <v>197</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0">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09" t="str">
        <f>VLOOKUP(B1129,辅助信息!E:J,6,FALSE)</f>
        <v>控制炉批号！多了现场不收！,优先安排达钢,提前联系到场规格及数量</v>
      </c>
      <c r="M1129" s="91">
        <v>45763</v>
      </c>
      <c r="O1129" s="62">
        <f ca="1" t="shared" si="40"/>
        <v>0</v>
      </c>
      <c r="P1129" s="62">
        <f ca="1" t="shared" si="39"/>
        <v>197</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0">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09" t="str">
        <f>VLOOKUP(B1130,辅助信息!E:J,6,FALSE)</f>
        <v>控制炉批号！多了现场不收！,优先安排达钢,提前联系到场规格及数量</v>
      </c>
      <c r="M1130" s="91">
        <v>45763</v>
      </c>
      <c r="O1130" s="62">
        <f ca="1" t="shared" si="40"/>
        <v>0</v>
      </c>
      <c r="P1130" s="62">
        <f ca="1" t="shared" si="39"/>
        <v>197</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0">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09" t="str">
        <f>VLOOKUP(B1131,辅助信息!E:J,6,FALSE)</f>
        <v>控制炉批号！多了现场不收！,优先安排达钢,提前联系到场规格及数量</v>
      </c>
      <c r="M1131" s="91">
        <v>45763</v>
      </c>
      <c r="O1131" s="62">
        <f ca="1" t="shared" si="40"/>
        <v>0</v>
      </c>
      <c r="P1131" s="62">
        <f ca="1" t="shared" si="39"/>
        <v>197</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0">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09" t="str">
        <f>VLOOKUP(B1132,辅助信息!E:J,6,FALSE)</f>
        <v>控制炉批号！多了现场不收！,优先安排达钢,提前联系到场规格及数量</v>
      </c>
      <c r="M1132" s="91">
        <v>45772</v>
      </c>
      <c r="O1132" s="62">
        <f ca="1" t="shared" si="40"/>
        <v>0</v>
      </c>
      <c r="P1132" s="62">
        <f ca="1" t="shared" si="39"/>
        <v>188</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0">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09" t="str">
        <f>VLOOKUP(B1133,辅助信息!E:J,6,FALSE)</f>
        <v>控制炉批号！多了现场不收！,优先安排达钢,提前联系到场规格及数量</v>
      </c>
      <c r="M1133" s="91">
        <v>45772</v>
      </c>
      <c r="O1133" s="62">
        <f ca="1" t="shared" si="40"/>
        <v>0</v>
      </c>
      <c r="P1133" s="62">
        <f ca="1" t="shared" si="39"/>
        <v>188</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0">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09" t="e">
        <f>VLOOKUP(B1134,辅助信息!E:J,6,FALSE)</f>
        <v>#N/A</v>
      </c>
      <c r="M1134" s="91">
        <v>45772</v>
      </c>
      <c r="O1134" s="62">
        <f ca="1" t="shared" si="40"/>
        <v>0</v>
      </c>
      <c r="P1134" s="62">
        <f ca="1" t="shared" si="39"/>
        <v>188</v>
      </c>
      <c r="Q1134" s="29" t="e">
        <f>VLOOKUP(B1134,辅助信息!E:M,9,FALSE)</f>
        <v>#N/A</v>
      </c>
      <c r="R1134" s="29" vm="1" t="e">
        <f>_xlfn._xlws.FILTER(辅助信息!D:D,辅助信息!E:E=B1134)</f>
        <v>#VALUE!</v>
      </c>
    </row>
    <row r="1135" hidden="1" spans="2:18">
      <c r="B1135" s="40" t="s">
        <v>87</v>
      </c>
      <c r="C1135" s="70">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09" t="e">
        <f>VLOOKUP(B1135,辅助信息!E:J,6,FALSE)</f>
        <v>#N/A</v>
      </c>
      <c r="M1135" s="91">
        <v>45772</v>
      </c>
      <c r="O1135" s="62">
        <f ca="1" t="shared" si="40"/>
        <v>0</v>
      </c>
      <c r="P1135" s="62">
        <f ca="1" t="shared" si="39"/>
        <v>188</v>
      </c>
      <c r="Q1135" s="29" t="e">
        <f>VLOOKUP(B1135,辅助信息!E:M,9,FALSE)</f>
        <v>#N/A</v>
      </c>
      <c r="R1135" s="29" vm="1" t="e">
        <f>_xlfn._xlws.FILTER(辅助信息!D:D,辅助信息!E:E=B1135)</f>
        <v>#VALUE!</v>
      </c>
    </row>
    <row r="1136" hidden="1" spans="2:18">
      <c r="B1136" s="40" t="s">
        <v>87</v>
      </c>
      <c r="C1136" s="70">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09" t="e">
        <f>VLOOKUP(B1136,辅助信息!E:J,6,FALSE)</f>
        <v>#N/A</v>
      </c>
      <c r="M1136" s="91">
        <v>45772</v>
      </c>
      <c r="O1136" s="62">
        <f ca="1" t="shared" si="40"/>
        <v>0</v>
      </c>
      <c r="P1136" s="62">
        <f ca="1" t="shared" si="39"/>
        <v>188</v>
      </c>
      <c r="Q1136" s="29" t="e">
        <f>VLOOKUP(B1136,辅助信息!E:M,9,FALSE)</f>
        <v>#N/A</v>
      </c>
      <c r="R1136" s="29" vm="1" t="e">
        <f>_xlfn._xlws.FILTER(辅助信息!D:D,辅助信息!E:E=B1136)</f>
        <v>#VALUE!</v>
      </c>
    </row>
    <row r="1137" hidden="1" spans="2:18">
      <c r="B1137" s="40" t="s">
        <v>87</v>
      </c>
      <c r="C1137" s="70">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09" t="e">
        <f>VLOOKUP(B1137,辅助信息!E:J,6,FALSE)</f>
        <v>#N/A</v>
      </c>
      <c r="M1137" s="91">
        <v>45772</v>
      </c>
      <c r="O1137" s="62">
        <f ca="1" t="shared" si="40"/>
        <v>0</v>
      </c>
      <c r="P1137" s="62">
        <f ca="1" t="shared" si="39"/>
        <v>188</v>
      </c>
      <c r="Q1137" s="29" t="e">
        <f>VLOOKUP(B1137,辅助信息!E:M,9,FALSE)</f>
        <v>#N/A</v>
      </c>
      <c r="R1137" s="29" vm="1" t="e">
        <f>_xlfn._xlws.FILTER(辅助信息!D:D,辅助信息!E:E=B1137)</f>
        <v>#VALUE!</v>
      </c>
    </row>
    <row r="1138" hidden="1" spans="1:18">
      <c r="A1138" s="62"/>
      <c r="B1138" s="40" t="s">
        <v>81</v>
      </c>
      <c r="C1138" s="70">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1">
        <v>45769</v>
      </c>
      <c r="O1138" s="62">
        <f ca="1" t="shared" si="40"/>
        <v>0</v>
      </c>
      <c r="P1138" s="62">
        <f ca="1" t="shared" si="39"/>
        <v>191</v>
      </c>
      <c r="Q1138" s="29" t="str">
        <f>VLOOKUP(B1138,辅助信息!E:M,9,FALSE)</f>
        <v>ZTWM-CDGS-XS-2024-0030-华西集采-简州大道</v>
      </c>
      <c r="R1138" s="29" t="str">
        <f>_xlfn._xlws.FILTER(辅助信息!D:D,辅助信息!E:E=B1138)</f>
        <v>华西简阳西城嘉苑</v>
      </c>
    </row>
    <row r="1139" hidden="1" spans="1:18">
      <c r="A1139" s="62"/>
      <c r="B1139" s="40" t="s">
        <v>81</v>
      </c>
      <c r="C1139" s="70">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1">
        <v>45769</v>
      </c>
      <c r="O1139" s="62">
        <f ca="1" t="shared" si="40"/>
        <v>0</v>
      </c>
      <c r="P1139" s="62">
        <f ca="1" t="shared" si="39"/>
        <v>191</v>
      </c>
      <c r="Q1139" s="29" t="str">
        <f>VLOOKUP(B1139,辅助信息!E:M,9,FALSE)</f>
        <v>ZTWM-CDGS-XS-2024-0030-华西集采-简州大道</v>
      </c>
      <c r="R1139" s="29" t="str">
        <f>_xlfn._xlws.FILTER(辅助信息!D:D,辅助信息!E:E=B1139)</f>
        <v>华西简阳西城嘉苑</v>
      </c>
    </row>
    <row r="1140" hidden="1" spans="1:18">
      <c r="A1140" s="62"/>
      <c r="B1140" s="40" t="s">
        <v>64</v>
      </c>
      <c r="C1140" s="70">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1">
        <v>45768</v>
      </c>
      <c r="O1140" s="62">
        <f ca="1" t="shared" si="40"/>
        <v>0</v>
      </c>
      <c r="P1140" s="62">
        <f ca="1" t="shared" ref="P1140:P1159" si="42">IF(M1140="","",IF(N1140&lt;&gt;"",MAX(N1140-M1140,0),IF(TODAY()&gt;M1140,TODAY()-M1140,0)))</f>
        <v>192</v>
      </c>
      <c r="Q1140" s="29" t="e">
        <f>VLOOKUP(B1140,辅助信息!E:M,9,FALSE)</f>
        <v>#N/A</v>
      </c>
      <c r="R1140" s="29" vm="1" t="e">
        <f>_xlfn._xlws.FILTER(辅助信息!D:D,辅助信息!E:E=B1140)</f>
        <v>#VALUE!</v>
      </c>
    </row>
    <row r="1141" hidden="1" spans="1:18">
      <c r="A1141" s="62"/>
      <c r="B1141" s="40" t="s">
        <v>75</v>
      </c>
      <c r="C1141" s="70">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1">
        <v>45772</v>
      </c>
      <c r="O1141" s="62">
        <f ca="1" t="shared" si="40"/>
        <v>0</v>
      </c>
      <c r="P1141" s="62">
        <f ca="1" t="shared" si="42"/>
        <v>188</v>
      </c>
      <c r="Q1141" s="29" t="e">
        <f>VLOOKUP(B1141,辅助信息!E:M,9,FALSE)</f>
        <v>#N/A</v>
      </c>
      <c r="R1141" s="29" vm="1" t="e">
        <f>_xlfn._xlws.FILTER(辅助信息!D:D,辅助信息!E:E=B1141)</f>
        <v>#VALUE!</v>
      </c>
    </row>
    <row r="1142" hidden="1" spans="1:18">
      <c r="A1142" s="62"/>
      <c r="B1142" s="40" t="s">
        <v>75</v>
      </c>
      <c r="C1142" s="70">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1">
        <v>45772</v>
      </c>
      <c r="O1142" s="62">
        <f ca="1" t="shared" si="40"/>
        <v>0</v>
      </c>
      <c r="P1142" s="62">
        <f ca="1" t="shared" si="42"/>
        <v>188</v>
      </c>
      <c r="Q1142" s="29" t="e">
        <f>VLOOKUP(B1142,辅助信息!E:M,9,FALSE)</f>
        <v>#N/A</v>
      </c>
      <c r="R1142" s="29" vm="1" t="e">
        <f>_xlfn._xlws.FILTER(辅助信息!D:D,辅助信息!E:E=B1142)</f>
        <v>#VALUE!</v>
      </c>
    </row>
    <row r="1143" hidden="1" spans="1:18">
      <c r="A1143" s="62"/>
      <c r="B1143" s="40" t="s">
        <v>75</v>
      </c>
      <c r="C1143" s="70">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1">
        <v>45772</v>
      </c>
      <c r="O1143" s="62">
        <f ca="1" t="shared" si="40"/>
        <v>0</v>
      </c>
      <c r="P1143" s="62">
        <f ca="1" t="shared" si="42"/>
        <v>188</v>
      </c>
      <c r="Q1143" s="29" t="e">
        <f>VLOOKUP(B1143,辅助信息!E:M,9,FALSE)</f>
        <v>#N/A</v>
      </c>
      <c r="R1143" s="29" vm="1" t="e">
        <f>_xlfn._xlws.FILTER(辅助信息!D:D,辅助信息!E:E=B1143)</f>
        <v>#VALUE!</v>
      </c>
    </row>
    <row r="1144" hidden="1" spans="1:18">
      <c r="A1144" s="62"/>
      <c r="B1144" s="40" t="s">
        <v>75</v>
      </c>
      <c r="C1144" s="70">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1">
        <v>45772</v>
      </c>
      <c r="O1144" s="62">
        <f ca="1" t="shared" si="40"/>
        <v>0</v>
      </c>
      <c r="P1144" s="62">
        <f ca="1" t="shared" si="42"/>
        <v>188</v>
      </c>
      <c r="Q1144" s="29" t="e">
        <f>VLOOKUP(B1144,辅助信息!E:M,9,FALSE)</f>
        <v>#N/A</v>
      </c>
      <c r="R1144" s="29" vm="1" t="e">
        <f>_xlfn._xlws.FILTER(辅助信息!D:D,辅助信息!E:E=B1144)</f>
        <v>#VALUE!</v>
      </c>
    </row>
    <row r="1145" hidden="1" spans="1:18">
      <c r="A1145" s="62"/>
      <c r="B1145" s="40" t="s">
        <v>75</v>
      </c>
      <c r="C1145" s="70">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1">
        <v>45772</v>
      </c>
      <c r="O1145" s="62">
        <f ca="1" t="shared" si="40"/>
        <v>0</v>
      </c>
      <c r="P1145" s="62">
        <f ca="1" t="shared" si="42"/>
        <v>188</v>
      </c>
      <c r="Q1145" s="29" t="e">
        <f>VLOOKUP(B1145,辅助信息!E:M,9,FALSE)</f>
        <v>#N/A</v>
      </c>
      <c r="R1145" s="29" vm="1" t="e">
        <f>_xlfn._xlws.FILTER(辅助信息!D:D,辅助信息!E:E=B1145)</f>
        <v>#VALUE!</v>
      </c>
    </row>
    <row r="1146" hidden="1" spans="1:18">
      <c r="A1146" s="108"/>
      <c r="B1146" s="67" t="s">
        <v>127</v>
      </c>
      <c r="C1146" s="68">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1">
        <v>45766</v>
      </c>
      <c r="O1146" s="62">
        <f ca="1" t="shared" si="40"/>
        <v>0</v>
      </c>
      <c r="P1146" s="62">
        <f ca="1" t="shared" si="42"/>
        <v>194</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8"/>
      <c r="B1147" s="40" t="s">
        <v>127</v>
      </c>
      <c r="C1147" s="70">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1">
        <v>45766</v>
      </c>
      <c r="O1147" s="62">
        <f ca="1" t="shared" si="40"/>
        <v>0</v>
      </c>
      <c r="P1147" s="62">
        <f ca="1" t="shared" si="42"/>
        <v>194</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8"/>
      <c r="B1148" s="40" t="s">
        <v>127</v>
      </c>
      <c r="C1148" s="70">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1">
        <v>45766</v>
      </c>
      <c r="O1148" s="62">
        <f ca="1" t="shared" si="40"/>
        <v>0</v>
      </c>
      <c r="P1148" s="62">
        <f ca="1" t="shared" si="42"/>
        <v>194</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8"/>
      <c r="B1149" s="40" t="s">
        <v>127</v>
      </c>
      <c r="C1149" s="70">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1">
        <v>45766</v>
      </c>
      <c r="O1149" s="62">
        <f ca="1" t="shared" si="40"/>
        <v>0</v>
      </c>
      <c r="P1149" s="62">
        <f ca="1" t="shared" si="42"/>
        <v>194</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8"/>
      <c r="B1150" s="40" t="s">
        <v>104</v>
      </c>
      <c r="C1150" s="70">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1">
        <v>45769</v>
      </c>
      <c r="O1150" s="62">
        <f ca="1" t="shared" si="40"/>
        <v>0</v>
      </c>
      <c r="P1150" s="62">
        <f ca="1" t="shared" si="42"/>
        <v>191</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8"/>
      <c r="B1151" s="40" t="s">
        <v>104</v>
      </c>
      <c r="C1151" s="70">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1">
        <v>45769</v>
      </c>
      <c r="O1151" s="62">
        <f ca="1" t="shared" ref="O1151:O1162" si="43">IF(OR(M1151="",N1151&lt;&gt;""),"",MAX(M1151-TODAY(),0))</f>
        <v>0</v>
      </c>
      <c r="P1151" s="62">
        <f ca="1" t="shared" si="42"/>
        <v>191</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8"/>
      <c r="B1152" s="40" t="s">
        <v>104</v>
      </c>
      <c r="C1152" s="70">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1">
        <v>45769</v>
      </c>
      <c r="O1152" s="62">
        <f ca="1" t="shared" si="43"/>
        <v>0</v>
      </c>
      <c r="P1152" s="62">
        <f ca="1" t="shared" si="42"/>
        <v>191</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8"/>
      <c r="B1153" s="40" t="s">
        <v>104</v>
      </c>
      <c r="C1153" s="70">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1">
        <v>45769</v>
      </c>
      <c r="O1153" s="62">
        <f ca="1" t="shared" si="43"/>
        <v>0</v>
      </c>
      <c r="P1153" s="62">
        <f ca="1" t="shared" si="42"/>
        <v>191</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8"/>
      <c r="B1154" s="40" t="s">
        <v>69</v>
      </c>
      <c r="C1154" s="70">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1">
        <v>45763</v>
      </c>
      <c r="O1154" s="62">
        <f ca="1" t="shared" si="43"/>
        <v>0</v>
      </c>
      <c r="P1154" s="62">
        <f ca="1" t="shared" si="42"/>
        <v>197</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8"/>
      <c r="B1155" s="40" t="s">
        <v>69</v>
      </c>
      <c r="C1155" s="70">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1">
        <v>45763</v>
      </c>
      <c r="O1155" s="62">
        <f ca="1" t="shared" si="43"/>
        <v>0</v>
      </c>
      <c r="P1155" s="62">
        <f ca="1" t="shared" si="42"/>
        <v>197</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8"/>
      <c r="B1156" s="40" t="s">
        <v>69</v>
      </c>
      <c r="C1156" s="70">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1">
        <v>45763</v>
      </c>
      <c r="O1156" s="62">
        <f ca="1" t="shared" si="43"/>
        <v>0</v>
      </c>
      <c r="P1156" s="62">
        <f ca="1" t="shared" si="42"/>
        <v>197</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8"/>
      <c r="B1157" s="40" t="s">
        <v>69</v>
      </c>
      <c r="C1157" s="70">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1">
        <v>45763</v>
      </c>
      <c r="O1157" s="62">
        <f ca="1" t="shared" si="43"/>
        <v>0</v>
      </c>
      <c r="P1157" s="62">
        <f ca="1" t="shared" si="42"/>
        <v>197</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8"/>
      <c r="B1158" s="40" t="s">
        <v>56</v>
      </c>
      <c r="C1158" s="70">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1">
        <v>45768</v>
      </c>
      <c r="O1158" s="62">
        <f ca="1" t="shared" si="43"/>
        <v>0</v>
      </c>
      <c r="P1158" s="62">
        <f ca="1" t="shared" si="42"/>
        <v>192</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8"/>
      <c r="B1159" s="83" t="s">
        <v>56</v>
      </c>
      <c r="C1159" s="84">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1">
        <v>45768</v>
      </c>
      <c r="O1159" s="62">
        <f ca="1" t="shared" si="43"/>
        <v>0</v>
      </c>
      <c r="P1159" s="62">
        <f ca="1" t="shared" si="42"/>
        <v>192</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2"/>
      <c r="B1160" s="40" t="s">
        <v>87</v>
      </c>
      <c r="C1160" s="70">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1">
        <v>45772</v>
      </c>
      <c r="O1160" s="62">
        <f ca="1" t="shared" si="43"/>
        <v>0</v>
      </c>
      <c r="P1160" s="62">
        <f ca="1" t="shared" ref="P1160:P1208" si="44">IF(M1160="","",IF(N1160&lt;&gt;"",MAX(N1160-M1160,0),IF(TODAY()&gt;M1160,TODAY()-M1160,0)))</f>
        <v>188</v>
      </c>
      <c r="Q1160" s="29" t="e">
        <f>VLOOKUP(B1160,辅助信息!E:M,9,FALSE)</f>
        <v>#N/A</v>
      </c>
      <c r="R1160" s="29" vm="1" t="e">
        <f>_xlfn._xlws.FILTER(辅助信息!D:D,辅助信息!E:E=B1160)</f>
        <v>#VALUE!</v>
      </c>
    </row>
    <row r="1161" hidden="1" spans="1:18">
      <c r="A1161" s="62"/>
      <c r="B1161" s="40" t="s">
        <v>87</v>
      </c>
      <c r="C1161" s="70">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1">
        <v>45772</v>
      </c>
      <c r="O1161" s="62">
        <f ca="1" t="shared" si="43"/>
        <v>0</v>
      </c>
      <c r="P1161" s="62">
        <f ca="1" t="shared" si="44"/>
        <v>188</v>
      </c>
      <c r="Q1161" s="29" t="e">
        <f>VLOOKUP(B1161,辅助信息!E:M,9,FALSE)</f>
        <v>#N/A</v>
      </c>
      <c r="R1161" s="29" vm="1" t="e">
        <f>_xlfn._xlws.FILTER(辅助信息!D:D,辅助信息!E:E=B1161)</f>
        <v>#VALUE!</v>
      </c>
    </row>
    <row r="1162" hidden="1" spans="1:18">
      <c r="A1162" s="62"/>
      <c r="B1162" s="40" t="s">
        <v>87</v>
      </c>
      <c r="C1162" s="70">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1">
        <v>45772</v>
      </c>
      <c r="O1162" s="62">
        <f ca="1" t="shared" si="43"/>
        <v>0</v>
      </c>
      <c r="P1162" s="62">
        <f ca="1" t="shared" si="44"/>
        <v>188</v>
      </c>
      <c r="Q1162" s="29" t="e">
        <f>VLOOKUP(B1162,辅助信息!E:M,9,FALSE)</f>
        <v>#N/A</v>
      </c>
      <c r="R1162" s="29" vm="1" t="e">
        <f>_xlfn._xlws.FILTER(辅助信息!D:D,辅助信息!E:E=B1162)</f>
        <v>#VALUE!</v>
      </c>
    </row>
    <row r="1163" hidden="1" spans="2:18">
      <c r="B1163" s="40" t="s">
        <v>68</v>
      </c>
      <c r="C1163" s="70">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1">
        <v>45772</v>
      </c>
      <c r="O1163" s="62">
        <f ca="1" t="shared" ref="O1163:O1193" si="45">IF(OR(M1163="",N1163&lt;&gt;""),"",MAX(M1163-TODAY(),0))</f>
        <v>0</v>
      </c>
      <c r="P1163" s="62">
        <f ca="1" t="shared" si="44"/>
        <v>188</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0">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1">
        <v>45772</v>
      </c>
      <c r="O1164" s="62">
        <f ca="1" t="shared" si="45"/>
        <v>0</v>
      </c>
      <c r="P1164" s="62">
        <f ca="1" t="shared" si="44"/>
        <v>188</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0">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1">
        <v>45772</v>
      </c>
      <c r="O1165" s="62">
        <f ca="1" t="shared" si="45"/>
        <v>0</v>
      </c>
      <c r="P1165" s="62">
        <f ca="1" t="shared" si="44"/>
        <v>188</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0">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1">
        <v>45772</v>
      </c>
      <c r="O1166" s="62">
        <f ca="1" t="shared" si="45"/>
        <v>0</v>
      </c>
      <c r="P1166" s="62">
        <f ca="1" t="shared" si="44"/>
        <v>188</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0">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1">
        <v>45772</v>
      </c>
      <c r="O1167" s="62">
        <f ca="1" t="shared" si="45"/>
        <v>0</v>
      </c>
      <c r="P1167" s="62">
        <f ca="1" t="shared" si="44"/>
        <v>188</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0">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1">
        <v>45772</v>
      </c>
      <c r="O1168" s="62">
        <f ca="1" t="shared" si="45"/>
        <v>0</v>
      </c>
      <c r="P1168" s="62">
        <f ca="1" t="shared" si="44"/>
        <v>188</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0">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1">
        <v>45772</v>
      </c>
      <c r="O1169" s="62">
        <f ca="1" t="shared" si="45"/>
        <v>0</v>
      </c>
      <c r="P1169" s="62">
        <f ca="1" t="shared" si="44"/>
        <v>188</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2" t="e">
        <f t="shared" ref="A1170:A1202" si="46">G1170-H1170</f>
        <v>#VALUE!</v>
      </c>
      <c r="B1170" s="40" t="s">
        <v>135</v>
      </c>
      <c r="C1170" s="70">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1">
        <v>45773</v>
      </c>
      <c r="O1170" s="62">
        <f ca="1" t="shared" si="45"/>
        <v>0</v>
      </c>
      <c r="P1170" s="62">
        <f ca="1" t="shared" si="44"/>
        <v>187</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2" t="e">
        <f t="shared" si="46"/>
        <v>#VALUE!</v>
      </c>
      <c r="B1171" s="40" t="s">
        <v>135</v>
      </c>
      <c r="C1171" s="70">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1">
        <v>45773</v>
      </c>
      <c r="O1171" s="62">
        <f ca="1" t="shared" si="45"/>
        <v>0</v>
      </c>
      <c r="P1171" s="62">
        <f ca="1" t="shared" si="44"/>
        <v>187</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2" t="e">
        <f t="shared" si="46"/>
        <v>#VALUE!</v>
      </c>
      <c r="B1172" s="40" t="s">
        <v>135</v>
      </c>
      <c r="C1172" s="70">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1">
        <v>45773</v>
      </c>
      <c r="O1172" s="62">
        <f ca="1" t="shared" si="45"/>
        <v>0</v>
      </c>
      <c r="P1172" s="62">
        <f ca="1" t="shared" si="44"/>
        <v>187</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2" t="e">
        <f t="shared" si="46"/>
        <v>#VALUE!</v>
      </c>
      <c r="B1173" s="40" t="s">
        <v>135</v>
      </c>
      <c r="C1173" s="70">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1">
        <v>45773</v>
      </c>
      <c r="O1173" s="62">
        <f ca="1" t="shared" si="45"/>
        <v>0</v>
      </c>
      <c r="P1173" s="62">
        <f ca="1" t="shared" si="44"/>
        <v>187</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2" t="e">
        <f t="shared" si="46"/>
        <v>#VALUE!</v>
      </c>
      <c r="B1174" s="40" t="s">
        <v>135</v>
      </c>
      <c r="C1174" s="70">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1">
        <v>45773</v>
      </c>
      <c r="O1174" s="62">
        <f ca="1" t="shared" si="45"/>
        <v>0</v>
      </c>
      <c r="P1174" s="62">
        <f ca="1" t="shared" si="44"/>
        <v>187</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2" t="e">
        <f t="shared" si="46"/>
        <v>#VALUE!</v>
      </c>
      <c r="B1175" s="40" t="s">
        <v>135</v>
      </c>
      <c r="C1175" s="70">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1">
        <v>45773</v>
      </c>
      <c r="O1175" s="62">
        <f ca="1" t="shared" si="45"/>
        <v>0</v>
      </c>
      <c r="P1175" s="62">
        <f ca="1" t="shared" si="44"/>
        <v>187</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2" t="e">
        <f t="shared" si="46"/>
        <v>#VALUE!</v>
      </c>
      <c r="B1176" s="40" t="s">
        <v>135</v>
      </c>
      <c r="C1176" s="70">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1">
        <v>45773</v>
      </c>
      <c r="O1176" s="62">
        <f ca="1" t="shared" si="45"/>
        <v>0</v>
      </c>
      <c r="P1176" s="62">
        <f ca="1" t="shared" si="44"/>
        <v>187</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2" t="e">
        <f t="shared" si="46"/>
        <v>#VALUE!</v>
      </c>
      <c r="B1177" s="40" t="s">
        <v>135</v>
      </c>
      <c r="C1177" s="70">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1">
        <v>45773</v>
      </c>
      <c r="O1177" s="62">
        <f ca="1" t="shared" si="45"/>
        <v>0</v>
      </c>
      <c r="P1177" s="62">
        <f ca="1" t="shared" si="44"/>
        <v>187</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2" t="e">
        <f t="shared" si="46"/>
        <v>#VALUE!</v>
      </c>
      <c r="B1178" s="40" t="s">
        <v>135</v>
      </c>
      <c r="C1178" s="70">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1">
        <v>45773</v>
      </c>
      <c r="O1178" s="62">
        <f ca="1" t="shared" si="45"/>
        <v>0</v>
      </c>
      <c r="P1178" s="62">
        <f ca="1" t="shared" si="44"/>
        <v>187</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2" t="e">
        <f t="shared" si="46"/>
        <v>#VALUE!</v>
      </c>
      <c r="B1179" s="40" t="s">
        <v>135</v>
      </c>
      <c r="C1179" s="70">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1">
        <v>45773</v>
      </c>
      <c r="O1179" s="62">
        <f ca="1" t="shared" si="45"/>
        <v>0</v>
      </c>
      <c r="P1179" s="62">
        <f ca="1" t="shared" si="44"/>
        <v>187</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2" t="e">
        <f t="shared" si="46"/>
        <v>#VALUE!</v>
      </c>
      <c r="B1180" s="40" t="s">
        <v>136</v>
      </c>
      <c r="C1180" s="70">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1">
        <v>45773</v>
      </c>
      <c r="O1180" s="62">
        <f ca="1" t="shared" si="45"/>
        <v>0</v>
      </c>
      <c r="P1180" s="62">
        <f ca="1" t="shared" si="44"/>
        <v>187</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2" t="e">
        <f t="shared" si="46"/>
        <v>#VALUE!</v>
      </c>
      <c r="B1181" s="40" t="s">
        <v>136</v>
      </c>
      <c r="C1181" s="70">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1">
        <v>45773</v>
      </c>
      <c r="O1181" s="62">
        <f ca="1" t="shared" si="45"/>
        <v>0</v>
      </c>
      <c r="P1181" s="62">
        <f ca="1" t="shared" si="44"/>
        <v>187</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2" t="e">
        <f t="shared" si="46"/>
        <v>#VALUE!</v>
      </c>
      <c r="B1182" s="40" t="s">
        <v>136</v>
      </c>
      <c r="C1182" s="70">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1">
        <v>45773</v>
      </c>
      <c r="O1182" s="62">
        <f ca="1" t="shared" si="45"/>
        <v>0</v>
      </c>
      <c r="P1182" s="62">
        <f ca="1" t="shared" si="44"/>
        <v>187</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2" t="e">
        <f t="shared" si="46"/>
        <v>#VALUE!</v>
      </c>
      <c r="B1183" s="40" t="s">
        <v>136</v>
      </c>
      <c r="C1183" s="70">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1">
        <v>45773</v>
      </c>
      <c r="O1183" s="62">
        <f ca="1" t="shared" si="45"/>
        <v>0</v>
      </c>
      <c r="P1183" s="62">
        <f ca="1" t="shared" si="44"/>
        <v>187</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2" t="e">
        <f t="shared" si="46"/>
        <v>#VALUE!</v>
      </c>
      <c r="B1184" s="40" t="s">
        <v>136</v>
      </c>
      <c r="C1184" s="70">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1">
        <v>45773</v>
      </c>
      <c r="O1184" s="62">
        <f ca="1" t="shared" si="45"/>
        <v>0</v>
      </c>
      <c r="P1184" s="62">
        <f ca="1" t="shared" si="44"/>
        <v>187</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2" t="e">
        <f t="shared" si="46"/>
        <v>#VALUE!</v>
      </c>
      <c r="B1185" s="40" t="s">
        <v>137</v>
      </c>
      <c r="C1185" s="70">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1">
        <v>45773</v>
      </c>
      <c r="O1185" s="62">
        <f ca="1" t="shared" si="45"/>
        <v>0</v>
      </c>
      <c r="P1185" s="62">
        <f ca="1" t="shared" si="44"/>
        <v>187</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2" t="e">
        <f t="shared" si="46"/>
        <v>#VALUE!</v>
      </c>
      <c r="B1186" s="40" t="s">
        <v>137</v>
      </c>
      <c r="C1186" s="70">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1">
        <v>45773</v>
      </c>
      <c r="O1186" s="62">
        <f ca="1" t="shared" si="45"/>
        <v>0</v>
      </c>
      <c r="P1186" s="62">
        <f ca="1" t="shared" si="44"/>
        <v>187</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2" t="e">
        <f t="shared" si="46"/>
        <v>#VALUE!</v>
      </c>
      <c r="B1187" s="40" t="s">
        <v>137</v>
      </c>
      <c r="C1187" s="70">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1">
        <v>45773</v>
      </c>
      <c r="O1187" s="62">
        <f ca="1" t="shared" si="45"/>
        <v>0</v>
      </c>
      <c r="P1187" s="62">
        <f ca="1" t="shared" si="44"/>
        <v>187</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2" t="e">
        <f t="shared" si="46"/>
        <v>#VALUE!</v>
      </c>
      <c r="B1188" s="40" t="s">
        <v>137</v>
      </c>
      <c r="C1188" s="70">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1">
        <v>45773</v>
      </c>
      <c r="O1188" s="62">
        <f ca="1" t="shared" si="45"/>
        <v>0</v>
      </c>
      <c r="P1188" s="62">
        <f ca="1" t="shared" si="44"/>
        <v>187</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2" t="e">
        <f t="shared" si="46"/>
        <v>#VALUE!</v>
      </c>
      <c r="B1189" s="40" t="s">
        <v>137</v>
      </c>
      <c r="C1189" s="70">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1">
        <v>45773</v>
      </c>
      <c r="O1189" s="62">
        <f ca="1" t="shared" si="45"/>
        <v>0</v>
      </c>
      <c r="P1189" s="62">
        <f ca="1" t="shared" si="44"/>
        <v>187</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2" t="e">
        <f t="shared" si="46"/>
        <v>#VALUE!</v>
      </c>
      <c r="B1190" s="40" t="s">
        <v>137</v>
      </c>
      <c r="C1190" s="70">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1">
        <v>45773</v>
      </c>
      <c r="O1190" s="62">
        <f ca="1" t="shared" si="45"/>
        <v>0</v>
      </c>
      <c r="P1190" s="62">
        <f ca="1" t="shared" si="44"/>
        <v>187</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2" t="e">
        <f t="shared" si="46"/>
        <v>#VALUE!</v>
      </c>
      <c r="B1191" s="40" t="s">
        <v>137</v>
      </c>
      <c r="C1191" s="70">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1">
        <v>45773</v>
      </c>
      <c r="O1191" s="62">
        <f ca="1" t="shared" si="45"/>
        <v>0</v>
      </c>
      <c r="P1191" s="62">
        <f ca="1" t="shared" si="44"/>
        <v>187</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2" t="e">
        <f t="shared" si="46"/>
        <v>#VALUE!</v>
      </c>
      <c r="B1192" s="40" t="s">
        <v>137</v>
      </c>
      <c r="C1192" s="70">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1">
        <v>45773</v>
      </c>
      <c r="O1192" s="62">
        <f ca="1" t="shared" si="45"/>
        <v>0</v>
      </c>
      <c r="P1192" s="62">
        <f ca="1" t="shared" si="44"/>
        <v>187</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2" t="e">
        <f t="shared" si="46"/>
        <v>#VALUE!</v>
      </c>
      <c r="B1193" s="40" t="s">
        <v>137</v>
      </c>
      <c r="C1193" s="70">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1">
        <v>45773</v>
      </c>
      <c r="O1193" s="62">
        <f ca="1" t="shared" si="45"/>
        <v>0</v>
      </c>
      <c r="P1193" s="62">
        <f ca="1" t="shared" si="44"/>
        <v>187</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2" t="e">
        <f t="shared" si="46"/>
        <v>#VALUE!</v>
      </c>
      <c r="B1194" s="40" t="s">
        <v>139</v>
      </c>
      <c r="C1194" s="70">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1">
        <v>45773</v>
      </c>
      <c r="O1194" s="62">
        <f ca="1" t="shared" ref="O1194:O1203" si="47">IF(OR(M1194="",N1194&lt;&gt;""),"",MAX(M1194-TODAY(),0))</f>
        <v>0</v>
      </c>
      <c r="P1194" s="62">
        <f ca="1" t="shared" si="44"/>
        <v>187</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2" t="e">
        <f t="shared" si="46"/>
        <v>#VALUE!</v>
      </c>
      <c r="B1195" s="40" t="s">
        <v>139</v>
      </c>
      <c r="C1195" s="70">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1">
        <v>45773</v>
      </c>
      <c r="O1195" s="62">
        <f ca="1" t="shared" si="47"/>
        <v>0</v>
      </c>
      <c r="P1195" s="62">
        <f ca="1" t="shared" si="44"/>
        <v>187</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2" t="e">
        <f t="shared" si="46"/>
        <v>#VALUE!</v>
      </c>
      <c r="B1196" s="40" t="s">
        <v>139</v>
      </c>
      <c r="C1196" s="70">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1">
        <v>45773</v>
      </c>
      <c r="O1196" s="62">
        <f ca="1" t="shared" si="47"/>
        <v>0</v>
      </c>
      <c r="P1196" s="62">
        <f ca="1" t="shared" si="44"/>
        <v>187</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2" t="e">
        <f t="shared" si="46"/>
        <v>#VALUE!</v>
      </c>
      <c r="B1197" s="40" t="s">
        <v>139</v>
      </c>
      <c r="C1197" s="70">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1">
        <v>45773</v>
      </c>
      <c r="O1197" s="62">
        <f ca="1" t="shared" si="47"/>
        <v>0</v>
      </c>
      <c r="P1197" s="62">
        <f ca="1" t="shared" si="44"/>
        <v>187</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2" t="e">
        <f t="shared" si="46"/>
        <v>#VALUE!</v>
      </c>
      <c r="B1198" s="40" t="s">
        <v>139</v>
      </c>
      <c r="C1198" s="70">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1">
        <v>45773</v>
      </c>
      <c r="O1198" s="62">
        <f ca="1" t="shared" si="47"/>
        <v>0</v>
      </c>
      <c r="P1198" s="62">
        <f ca="1" t="shared" si="44"/>
        <v>187</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2" t="e">
        <f t="shared" si="46"/>
        <v>#VALUE!</v>
      </c>
      <c r="B1199" s="40" t="s">
        <v>139</v>
      </c>
      <c r="C1199" s="70">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1">
        <v>45773</v>
      </c>
      <c r="O1199" s="62">
        <f ca="1" t="shared" si="47"/>
        <v>0</v>
      </c>
      <c r="P1199" s="62">
        <f ca="1" t="shared" si="44"/>
        <v>187</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2" t="e">
        <f t="shared" si="46"/>
        <v>#VALUE!</v>
      </c>
      <c r="B1200" s="40" t="s">
        <v>139</v>
      </c>
      <c r="C1200" s="70">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1">
        <v>45773</v>
      </c>
      <c r="O1200" s="62">
        <f ca="1" t="shared" si="47"/>
        <v>0</v>
      </c>
      <c r="P1200" s="62">
        <f ca="1" t="shared" si="44"/>
        <v>187</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2" t="e">
        <f t="shared" si="46"/>
        <v>#VALUE!</v>
      </c>
      <c r="B1201" s="40" t="s">
        <v>139</v>
      </c>
      <c r="C1201" s="70">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1">
        <v>45773</v>
      </c>
      <c r="O1201" s="62">
        <f ca="1" t="shared" si="47"/>
        <v>0</v>
      </c>
      <c r="P1201" s="62">
        <f ca="1" t="shared" si="44"/>
        <v>187</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2" t="e">
        <f t="shared" si="46"/>
        <v>#VALUE!</v>
      </c>
      <c r="B1202" s="40" t="s">
        <v>139</v>
      </c>
      <c r="C1202" s="70">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1">
        <v>45773</v>
      </c>
      <c r="O1202" s="62">
        <f ca="1" t="shared" si="47"/>
        <v>0</v>
      </c>
      <c r="P1202" s="62">
        <f ca="1" t="shared" si="44"/>
        <v>187</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0">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1">
        <v>45773</v>
      </c>
      <c r="O1203" s="62">
        <f ca="1" t="shared" si="47"/>
        <v>0</v>
      </c>
      <c r="P1203" s="62">
        <f ca="1" t="shared" si="44"/>
        <v>187</v>
      </c>
      <c r="Q1203" s="29" t="e">
        <f>VLOOKUP(B1203,辅助信息!E:M,9,FALSE)</f>
        <v>#N/A</v>
      </c>
      <c r="R1203" s="29" vm="1" t="e">
        <f>_xlfn._xlws.FILTER(辅助信息!D:D,辅助信息!E:E=B1203)</f>
        <v>#VALUE!</v>
      </c>
    </row>
    <row r="1204" hidden="1" spans="1:16">
      <c r="A1204" s="62" t="e">
        <f t="shared" ref="A1204:A1206" si="48">G1204-H1204</f>
        <v>#VALUE!</v>
      </c>
      <c r="B1204" s="96" t="s">
        <v>132</v>
      </c>
      <c r="C1204" s="70">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2" t="str">
        <f ca="1" t="shared" si="44"/>
        <v/>
      </c>
    </row>
    <row r="1205" hidden="1" spans="1:16">
      <c r="A1205" s="62" t="e">
        <f t="shared" si="48"/>
        <v>#VALUE!</v>
      </c>
      <c r="B1205" s="96" t="s">
        <v>132</v>
      </c>
      <c r="C1205" s="70">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2" t="str">
        <f ca="1" t="shared" si="44"/>
        <v/>
      </c>
    </row>
    <row r="1206" hidden="1" spans="1:16">
      <c r="A1206" s="62" t="e">
        <f t="shared" si="48"/>
        <v>#VALUE!</v>
      </c>
      <c r="B1206" s="96" t="s">
        <v>132</v>
      </c>
      <c r="C1206" s="84">
        <v>45771</v>
      </c>
      <c r="D1206" s="83" t="str">
        <f>VLOOKUP(B1206,辅助信息!E:K,7,FALSE)</f>
        <v>JWDDCD2025050800080</v>
      </c>
      <c r="E1206" s="83" t="str">
        <f>VLOOKUP(F1206,辅助信息!A:B,2,FALSE)</f>
        <v>螺纹钢</v>
      </c>
      <c r="F1206" s="26" t="s">
        <v>142</v>
      </c>
      <c r="G1206" s="85">
        <v>35</v>
      </c>
      <c r="H1206" s="85" t="str">
        <f>_xlfn.XLOOKUP(C1206&amp;F1206&amp;I1206&amp;J1206,'[1]2025年已发货'!$F:$F&amp;'[1]2025年已发货'!$C:$C&amp;'[1]2025年已发货'!$G:$G&amp;'[1]2025年已发货'!$H:$H,'[1]2025年已发货'!$E:$E,"未发货")</f>
        <v>未发货</v>
      </c>
      <c r="I1206" s="83" t="str">
        <f>VLOOKUP(B1206,辅助信息!E:I,3,FALSE)</f>
        <v>(宜宾兴港三江新区长江工业园建设项目-9#厂房)宜宾市翠屏区宜宾汽车零部件配套产业基地(纬五路南)</v>
      </c>
      <c r="J1206" s="83" t="str">
        <f>VLOOKUP(B1206,辅助信息!E:I,4,FALSE)</f>
        <v>严石林</v>
      </c>
      <c r="K1206" s="83">
        <f>VLOOKUP(J1206,辅助信息!H:I,2,FALSE)</f>
        <v>15924731822</v>
      </c>
      <c r="L1206" s="110" t="str">
        <f>VLOOKUP(B1206,辅助信息!E:J,6,FALSE)</f>
        <v>装货前联系收货人核实到场规格，货物最下面用方木垫下方便卸货</v>
      </c>
      <c r="P1206" s="62" t="str">
        <f ca="1" t="shared" si="44"/>
        <v/>
      </c>
    </row>
    <row r="1207" hidden="1" spans="1:18">
      <c r="A1207" s="62"/>
      <c r="B1207" s="40" t="s">
        <v>81</v>
      </c>
      <c r="C1207" s="70">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5">
        <v>45769</v>
      </c>
      <c r="N1207" s="26"/>
      <c r="O1207" s="26">
        <f ca="1">IF(OR(M1207="",N1207&lt;&gt;""),"",MAX(M1207-TODAY(),0))</f>
        <v>0</v>
      </c>
      <c r="P1207" s="62">
        <f ca="1" t="shared" si="44"/>
        <v>191</v>
      </c>
      <c r="Q1207" s="26" t="str">
        <f>VLOOKUP(B1207,辅助信息!E:M,9,FALSE)</f>
        <v>ZTWM-CDGS-XS-2024-0030-华西集采-简州大道</v>
      </c>
      <c r="R1207" s="26" t="str">
        <f>_xlfn._xlws.FILTER(辅助信息!D:D,辅助信息!E:E=B1207)</f>
        <v>华西简阳西城嘉苑</v>
      </c>
    </row>
    <row r="1208" hidden="1" spans="1:18">
      <c r="A1208" s="62"/>
      <c r="B1208" s="40" t="s">
        <v>81</v>
      </c>
      <c r="C1208" s="70">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5">
        <v>45769</v>
      </c>
      <c r="N1208" s="26"/>
      <c r="O1208" s="26">
        <f ca="1">IF(OR(M1208="",N1208&lt;&gt;""),"",MAX(M1208-TODAY(),0))</f>
        <v>0</v>
      </c>
      <c r="P1208" s="62">
        <f ca="1" t="shared" si="44"/>
        <v>191</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0">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5">
        <v>45763</v>
      </c>
      <c r="N1209" s="26"/>
      <c r="O1209" s="26">
        <f ca="1" t="shared" ref="O1209:O1225" si="49">IF(OR(M1209="",N1209&lt;&gt;""),"",MAX(M1209-TODAY(),0))</f>
        <v>0</v>
      </c>
      <c r="P1209" s="62">
        <f ca="1" t="shared" ref="P1209:P1225" si="50">IF(M1209="","",IF(N1209&lt;&gt;"",MAX(N1209-M1209,0),IF(TODAY()&gt;M1209,TODAY()-M1209,0)))</f>
        <v>197</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0">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5">
        <v>45763</v>
      </c>
      <c r="N1210" s="26"/>
      <c r="O1210" s="26">
        <f ca="1" t="shared" si="49"/>
        <v>0</v>
      </c>
      <c r="P1210" s="62">
        <f ca="1" t="shared" si="50"/>
        <v>197</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0">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5">
        <v>45763</v>
      </c>
      <c r="N1211" s="26"/>
      <c r="O1211" s="26">
        <f ca="1" t="shared" si="49"/>
        <v>0</v>
      </c>
      <c r="P1211" s="62">
        <f ca="1" t="shared" si="50"/>
        <v>197</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0">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5">
        <v>45763</v>
      </c>
      <c r="N1212" s="26"/>
      <c r="O1212" s="26">
        <f ca="1" t="shared" si="49"/>
        <v>0</v>
      </c>
      <c r="P1212" s="62">
        <f ca="1" t="shared" si="50"/>
        <v>197</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0">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5">
        <v>45768</v>
      </c>
      <c r="N1213" s="26"/>
      <c r="O1213" s="26">
        <f ca="1" t="shared" si="49"/>
        <v>0</v>
      </c>
      <c r="P1213" s="62">
        <f ca="1" t="shared" si="50"/>
        <v>192</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0">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5">
        <v>45768</v>
      </c>
      <c r="N1214" s="26"/>
      <c r="O1214" s="26">
        <f ca="1" t="shared" si="49"/>
        <v>0</v>
      </c>
      <c r="P1214" s="62">
        <f ca="1" t="shared" si="50"/>
        <v>192</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2"/>
      <c r="B1215" s="40" t="s">
        <v>68</v>
      </c>
      <c r="C1215" s="70">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1">
        <v>45772</v>
      </c>
      <c r="O1215" s="62">
        <f ca="1" t="shared" si="49"/>
        <v>0</v>
      </c>
      <c r="P1215" s="62">
        <f ca="1" t="shared" si="50"/>
        <v>188</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2"/>
      <c r="B1216" s="40" t="s">
        <v>68</v>
      </c>
      <c r="C1216" s="70">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1">
        <v>45772</v>
      </c>
      <c r="O1216" s="62">
        <f ca="1" t="shared" si="49"/>
        <v>0</v>
      </c>
      <c r="P1216" s="62">
        <f ca="1" t="shared" si="50"/>
        <v>188</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2"/>
      <c r="B1217" s="40" t="s">
        <v>68</v>
      </c>
      <c r="C1217" s="70">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1">
        <v>45772</v>
      </c>
      <c r="O1217" s="62">
        <f ca="1" t="shared" si="49"/>
        <v>0</v>
      </c>
      <c r="P1217" s="62">
        <f ca="1" t="shared" si="50"/>
        <v>188</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2"/>
      <c r="B1218" s="40" t="s">
        <v>68</v>
      </c>
      <c r="C1218" s="70">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1">
        <v>45772</v>
      </c>
      <c r="O1218" s="62">
        <f ca="1" t="shared" si="49"/>
        <v>0</v>
      </c>
      <c r="P1218" s="62">
        <f ca="1" t="shared" si="50"/>
        <v>188</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2"/>
      <c r="B1219" s="40" t="s">
        <v>68</v>
      </c>
      <c r="C1219" s="70">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1">
        <v>45772</v>
      </c>
      <c r="O1219" s="62">
        <f ca="1" t="shared" si="49"/>
        <v>0</v>
      </c>
      <c r="P1219" s="62">
        <f ca="1" t="shared" si="50"/>
        <v>188</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2"/>
      <c r="B1220" s="40" t="s">
        <v>136</v>
      </c>
      <c r="C1220" s="70">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1">
        <v>45773</v>
      </c>
      <c r="O1220" s="62">
        <f ca="1" t="shared" si="49"/>
        <v>0</v>
      </c>
      <c r="P1220" s="62">
        <f ca="1" t="shared" si="50"/>
        <v>187</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2"/>
      <c r="B1221" s="40" t="s">
        <v>139</v>
      </c>
      <c r="C1221" s="70">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1">
        <v>45773</v>
      </c>
      <c r="O1221" s="62">
        <f ca="1" t="shared" si="49"/>
        <v>0</v>
      </c>
      <c r="P1221" s="62">
        <f ca="1" t="shared" si="50"/>
        <v>187</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2"/>
      <c r="B1222" s="40" t="s">
        <v>139</v>
      </c>
      <c r="C1222" s="70">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1">
        <v>45773</v>
      </c>
      <c r="O1222" s="62">
        <f ca="1" t="shared" si="49"/>
        <v>0</v>
      </c>
      <c r="P1222" s="62">
        <f ca="1" t="shared" si="50"/>
        <v>187</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2"/>
      <c r="B1223" s="40" t="s">
        <v>132</v>
      </c>
      <c r="C1223" s="70">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1">
        <v>45773</v>
      </c>
      <c r="O1223" s="62">
        <f ca="1" t="shared" si="49"/>
        <v>0</v>
      </c>
      <c r="P1223" s="62">
        <f ca="1" t="shared" si="50"/>
        <v>187</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2"/>
      <c r="B1224" s="40" t="s">
        <v>132</v>
      </c>
      <c r="C1224" s="70">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1">
        <v>45773</v>
      </c>
      <c r="O1224" s="62">
        <f ca="1" t="shared" si="49"/>
        <v>0</v>
      </c>
      <c r="P1224" s="62">
        <f ca="1" t="shared" si="50"/>
        <v>187</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2"/>
      <c r="B1225" s="40" t="s">
        <v>132</v>
      </c>
      <c r="C1225" s="70">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1">
        <v>45773</v>
      </c>
      <c r="O1225" s="62">
        <f ca="1" t="shared" si="49"/>
        <v>0</v>
      </c>
      <c r="P1225" s="62">
        <f ca="1" t="shared" si="50"/>
        <v>187</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0">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1">
        <v>45779</v>
      </c>
      <c r="O1226" s="62">
        <f ca="1" t="shared" ref="O1226:O1234" si="51">IF(OR(M1226="",N1226&lt;&gt;""),"",MAX(M1226-TODAY(),0))</f>
        <v>0</v>
      </c>
      <c r="P1226" s="62">
        <f ca="1" t="shared" ref="P1226:P1254" si="52">IF(M1226="","",IF(N1226&lt;&gt;"",MAX(N1226-M1226,0),IF(TODAY()&gt;M1226,TODAY()-M1226,0)))</f>
        <v>181</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0">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1">
        <v>45779</v>
      </c>
      <c r="O1227" s="62">
        <f ca="1" t="shared" si="51"/>
        <v>0</v>
      </c>
      <c r="P1227" s="62">
        <f ca="1" t="shared" si="52"/>
        <v>181</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0">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1">
        <v>45779</v>
      </c>
      <c r="O1228" s="62">
        <f ca="1" t="shared" si="51"/>
        <v>0</v>
      </c>
      <c r="P1228" s="62">
        <f ca="1" t="shared" si="52"/>
        <v>181</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0">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1">
        <v>45779</v>
      </c>
      <c r="O1229" s="62">
        <f ca="1" t="shared" si="51"/>
        <v>0</v>
      </c>
      <c r="P1229" s="62">
        <f ca="1" t="shared" si="52"/>
        <v>181</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0">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1">
        <v>45779</v>
      </c>
      <c r="O1230" s="62">
        <f ca="1" t="shared" si="51"/>
        <v>0</v>
      </c>
      <c r="P1230" s="62">
        <f ca="1" t="shared" si="52"/>
        <v>181</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0">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1">
        <v>45779</v>
      </c>
      <c r="O1231" s="62">
        <f ca="1" t="shared" si="51"/>
        <v>0</v>
      </c>
      <c r="P1231" s="62">
        <f ca="1" t="shared" si="52"/>
        <v>181</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0">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1">
        <v>45779</v>
      </c>
      <c r="O1232" s="62">
        <f ca="1" t="shared" si="51"/>
        <v>0</v>
      </c>
      <c r="P1232" s="62">
        <f ca="1" t="shared" si="52"/>
        <v>181</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0">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1">
        <v>45779</v>
      </c>
      <c r="O1233" s="62">
        <f ca="1" t="shared" si="51"/>
        <v>0</v>
      </c>
      <c r="P1233" s="62">
        <f ca="1" t="shared" si="52"/>
        <v>181</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3" t="s">
        <v>47</v>
      </c>
      <c r="C1234" s="84">
        <v>45774</v>
      </c>
      <c r="D1234" s="83" t="str">
        <f>VLOOKUP(B1234,辅助信息!E:K,7,FALSE)</f>
        <v>JWDDCD2025052800131</v>
      </c>
      <c r="E1234" s="83" t="str">
        <f>VLOOKUP(F1234,辅助信息!A:B,2,FALSE)</f>
        <v>螺纹钢</v>
      </c>
      <c r="F1234" s="83" t="s">
        <v>18</v>
      </c>
      <c r="G1234" s="85">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1">
        <v>45779</v>
      </c>
      <c r="O1234" s="62">
        <f ca="1" t="shared" si="51"/>
        <v>0</v>
      </c>
      <c r="P1234" s="62">
        <f ca="1" t="shared" si="52"/>
        <v>181</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6"/>
      <c r="B1235" s="40" t="s">
        <v>64</v>
      </c>
      <c r="C1235" s="70">
        <v>45773</v>
      </c>
      <c r="D1235" s="111" t="e">
        <f>VLOOKUP(B1235,辅助信息!E:K,7,FALSE)</f>
        <v>#N/A</v>
      </c>
      <c r="E1235" s="40" t="str">
        <f>VLOOKUP(F1235,辅助信息!A:B,2,FALSE)</f>
        <v>盘螺</v>
      </c>
      <c r="F1235" s="40" t="s">
        <v>26</v>
      </c>
      <c r="G1235" s="36">
        <v>9</v>
      </c>
      <c r="H1235" s="112"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1">
        <v>45773</v>
      </c>
      <c r="O1235" s="62">
        <f ca="1" t="shared" ref="O1235:O1270" si="53">IF(OR(M1235="",N1235&lt;&gt;""),"",MAX(M1235-TODAY(),0))</f>
        <v>0</v>
      </c>
      <c r="P1235" s="62">
        <f ca="1" t="shared" si="52"/>
        <v>187</v>
      </c>
      <c r="Q1235" s="29" t="e">
        <f>VLOOKUP(B1235,辅助信息!E:M,9,FALSE)</f>
        <v>#N/A</v>
      </c>
      <c r="R1235" s="26" vm="1" t="e">
        <f>_xlfn._xlws.FILTER(辅助信息!D:D,辅助信息!E:E=B1235)</f>
        <v>#VALUE!</v>
      </c>
    </row>
    <row r="1236" hidden="1" spans="1:18">
      <c r="A1236" s="86"/>
      <c r="B1236" s="40" t="s">
        <v>64</v>
      </c>
      <c r="C1236" s="70">
        <v>45773</v>
      </c>
      <c r="D1236" s="113" t="e">
        <f>VLOOKUP(B1236,辅助信息!E:K,7,FALSE)</f>
        <v>#N/A</v>
      </c>
      <c r="E1236" s="40" t="str">
        <f>VLOOKUP(F1236,辅助信息!A:B,2,FALSE)</f>
        <v>螺纹钢</v>
      </c>
      <c r="F1236" s="40" t="s">
        <v>27</v>
      </c>
      <c r="G1236" s="36">
        <v>6</v>
      </c>
      <c r="H1236" s="112"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1">
        <v>45773</v>
      </c>
      <c r="O1236" s="62">
        <f ca="1" t="shared" si="53"/>
        <v>0</v>
      </c>
      <c r="P1236" s="62">
        <f ca="1" t="shared" si="52"/>
        <v>187</v>
      </c>
      <c r="Q1236" s="29" t="e">
        <f>VLOOKUP(B1236,辅助信息!E:M,9,FALSE)</f>
        <v>#N/A</v>
      </c>
      <c r="R1236" s="26" vm="1" t="e">
        <f>_xlfn._xlws.FILTER(辅助信息!D:D,辅助信息!E:E=B1236)</f>
        <v>#VALUE!</v>
      </c>
    </row>
    <row r="1237" hidden="1" spans="1:18">
      <c r="A1237" s="86"/>
      <c r="B1237" s="40" t="s">
        <v>64</v>
      </c>
      <c r="C1237" s="70">
        <v>45773</v>
      </c>
      <c r="D1237" s="113" t="e">
        <f>VLOOKUP(B1237,辅助信息!E:K,7,FALSE)</f>
        <v>#N/A</v>
      </c>
      <c r="E1237" s="40" t="str">
        <f>VLOOKUP(F1237,辅助信息!A:B,2,FALSE)</f>
        <v>螺纹钢</v>
      </c>
      <c r="F1237" s="40" t="s">
        <v>19</v>
      </c>
      <c r="G1237" s="36">
        <v>21</v>
      </c>
      <c r="H1237" s="112"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1">
        <v>45773</v>
      </c>
      <c r="O1237" s="62">
        <f ca="1" t="shared" si="53"/>
        <v>0</v>
      </c>
      <c r="P1237" s="62">
        <f ca="1" t="shared" si="52"/>
        <v>187</v>
      </c>
      <c r="Q1237" s="29" t="e">
        <f>VLOOKUP(B1237,辅助信息!E:M,9,FALSE)</f>
        <v>#N/A</v>
      </c>
      <c r="R1237" s="26" vm="1" t="e">
        <f>_xlfn._xlws.FILTER(辅助信息!D:D,辅助信息!E:E=B1237)</f>
        <v>#VALUE!</v>
      </c>
    </row>
    <row r="1238" hidden="1" spans="1:18">
      <c r="A1238" s="86"/>
      <c r="B1238" s="40" t="s">
        <v>64</v>
      </c>
      <c r="C1238" s="70">
        <v>45773</v>
      </c>
      <c r="D1238" s="113" t="e">
        <f>VLOOKUP(B1238,辅助信息!E:K,7,FALSE)</f>
        <v>#N/A</v>
      </c>
      <c r="E1238" s="40" t="str">
        <f>VLOOKUP(F1238,辅助信息!A:B,2,FALSE)</f>
        <v>螺纹钢</v>
      </c>
      <c r="F1238" s="40" t="s">
        <v>65</v>
      </c>
      <c r="G1238" s="36">
        <v>12</v>
      </c>
      <c r="H1238" s="112"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1">
        <v>45773</v>
      </c>
      <c r="O1238" s="62">
        <f ca="1" t="shared" si="53"/>
        <v>0</v>
      </c>
      <c r="P1238" s="62">
        <f ca="1" t="shared" si="52"/>
        <v>187</v>
      </c>
      <c r="Q1238" s="29" t="e">
        <f>VLOOKUP(B1238,辅助信息!E:M,9,FALSE)</f>
        <v>#N/A</v>
      </c>
      <c r="R1238" s="26" vm="1" t="e">
        <f>_xlfn._xlws.FILTER(辅助信息!D:D,辅助信息!E:E=B1238)</f>
        <v>#VALUE!</v>
      </c>
    </row>
    <row r="1239" hidden="1" spans="1:18">
      <c r="A1239" s="86"/>
      <c r="B1239" s="40" t="s">
        <v>64</v>
      </c>
      <c r="C1239" s="70">
        <v>45773</v>
      </c>
      <c r="D1239" s="113" t="e">
        <f>VLOOKUP(B1239,辅助信息!E:K,7,FALSE)</f>
        <v>#N/A</v>
      </c>
      <c r="E1239" s="40" t="str">
        <f>VLOOKUP(F1239,辅助信息!A:B,2,FALSE)</f>
        <v>螺纹钢</v>
      </c>
      <c r="F1239" s="40" t="s">
        <v>52</v>
      </c>
      <c r="G1239" s="36">
        <v>15</v>
      </c>
      <c r="H1239" s="112"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1">
        <v>45773</v>
      </c>
      <c r="O1239" s="62">
        <f ca="1" t="shared" si="53"/>
        <v>0</v>
      </c>
      <c r="P1239" s="62">
        <f ca="1" t="shared" si="52"/>
        <v>187</v>
      </c>
      <c r="Q1239" s="29" t="e">
        <f>VLOOKUP(B1239,辅助信息!E:M,9,FALSE)</f>
        <v>#N/A</v>
      </c>
      <c r="R1239" s="26" vm="1" t="e">
        <f>_xlfn._xlws.FILTER(辅助信息!D:D,辅助信息!E:E=B1239)</f>
        <v>#VALUE!</v>
      </c>
    </row>
    <row r="1240" hidden="1" spans="1:18">
      <c r="A1240" s="86"/>
      <c r="B1240" s="40" t="s">
        <v>70</v>
      </c>
      <c r="C1240" s="70">
        <v>45773</v>
      </c>
      <c r="D1240" s="113" t="e">
        <f>VLOOKUP(B1240,辅助信息!E:K,7,FALSE)</f>
        <v>#N/A</v>
      </c>
      <c r="E1240" s="40" t="str">
        <f>VLOOKUP(F1240,辅助信息!A:B,2,FALSE)</f>
        <v>螺纹钢</v>
      </c>
      <c r="F1240" s="40" t="s">
        <v>27</v>
      </c>
      <c r="G1240" s="36">
        <v>8</v>
      </c>
      <c r="H1240" s="112"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1">
        <v>45773</v>
      </c>
      <c r="O1240" s="62">
        <f ca="1" t="shared" si="53"/>
        <v>0</v>
      </c>
      <c r="P1240" s="62">
        <f ca="1" t="shared" si="52"/>
        <v>187</v>
      </c>
      <c r="Q1240" s="29" t="e">
        <f>VLOOKUP(B1240,辅助信息!E:M,9,FALSE)</f>
        <v>#N/A</v>
      </c>
      <c r="R1240" s="26" vm="1" t="e">
        <f>_xlfn._xlws.FILTER(辅助信息!D:D,辅助信息!E:E=B1240)</f>
        <v>#VALUE!</v>
      </c>
    </row>
    <row r="1241" hidden="1" spans="1:18">
      <c r="A1241" s="86"/>
      <c r="B1241" s="40" t="s">
        <v>87</v>
      </c>
      <c r="C1241" s="70">
        <v>45773</v>
      </c>
      <c r="D1241" s="113" t="e">
        <f>VLOOKUP(B1241,辅助信息!E:K,7,FALSE)</f>
        <v>#N/A</v>
      </c>
      <c r="E1241" s="40" t="str">
        <f>VLOOKUP(F1241,辅助信息!A:B,2,FALSE)</f>
        <v>螺纹钢</v>
      </c>
      <c r="F1241" s="40" t="s">
        <v>27</v>
      </c>
      <c r="G1241" s="36">
        <v>24</v>
      </c>
      <c r="H1241" s="112"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1">
        <v>45773</v>
      </c>
      <c r="O1241" s="62">
        <f ca="1" t="shared" si="53"/>
        <v>0</v>
      </c>
      <c r="P1241" s="62">
        <f ca="1" t="shared" si="52"/>
        <v>187</v>
      </c>
      <c r="Q1241" s="29" t="e">
        <f>VLOOKUP(B1241,辅助信息!E:M,9,FALSE)</f>
        <v>#N/A</v>
      </c>
      <c r="R1241" s="26" vm="1" t="e">
        <f>_xlfn._xlws.FILTER(辅助信息!D:D,辅助信息!E:E=B1241)</f>
        <v>#VALUE!</v>
      </c>
    </row>
    <row r="1242" hidden="1" spans="1:18">
      <c r="A1242" s="86"/>
      <c r="B1242" s="40" t="s">
        <v>87</v>
      </c>
      <c r="C1242" s="70">
        <v>45773</v>
      </c>
      <c r="D1242" s="113" t="e">
        <f>VLOOKUP(B1242,辅助信息!E:K,7,FALSE)</f>
        <v>#N/A</v>
      </c>
      <c r="E1242" s="40" t="str">
        <f>VLOOKUP(F1242,辅助信息!A:B,2,FALSE)</f>
        <v>螺纹钢</v>
      </c>
      <c r="F1242" s="40" t="s">
        <v>19</v>
      </c>
      <c r="G1242" s="36">
        <v>12</v>
      </c>
      <c r="H1242" s="112"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1">
        <v>45773</v>
      </c>
      <c r="O1242" s="62">
        <f ca="1" t="shared" si="53"/>
        <v>0</v>
      </c>
      <c r="P1242" s="62">
        <f ca="1" t="shared" si="52"/>
        <v>187</v>
      </c>
      <c r="Q1242" s="29" t="e">
        <f>VLOOKUP(B1242,辅助信息!E:M,9,FALSE)</f>
        <v>#N/A</v>
      </c>
      <c r="R1242" s="26" vm="1" t="e">
        <f>_xlfn._xlws.FILTER(辅助信息!D:D,辅助信息!E:E=B1242)</f>
        <v>#VALUE!</v>
      </c>
    </row>
    <row r="1243" hidden="1" spans="1:18">
      <c r="A1243" s="86"/>
      <c r="B1243" s="40" t="s">
        <v>29</v>
      </c>
      <c r="C1243" s="70">
        <v>45773</v>
      </c>
      <c r="D1243" s="113" t="e">
        <f>VLOOKUP(B1243,辅助信息!E:K,7,FALSE)</f>
        <v>#N/A</v>
      </c>
      <c r="E1243" s="40" t="str">
        <f>VLOOKUP(F1243,辅助信息!A:B,2,FALSE)</f>
        <v>螺纹钢</v>
      </c>
      <c r="F1243" s="40" t="s">
        <v>28</v>
      </c>
      <c r="G1243" s="36">
        <v>27</v>
      </c>
      <c r="H1243" s="112"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1">
        <v>45773</v>
      </c>
      <c r="O1243" s="62">
        <f ca="1" t="shared" si="53"/>
        <v>0</v>
      </c>
      <c r="P1243" s="62">
        <f ca="1" t="shared" si="52"/>
        <v>187</v>
      </c>
      <c r="Q1243" s="29" t="e">
        <f>VLOOKUP(B1243,辅助信息!E:M,9,FALSE)</f>
        <v>#N/A</v>
      </c>
      <c r="R1243" s="26" vm="1" t="e">
        <f>_xlfn._xlws.FILTER(辅助信息!D:D,辅助信息!E:E=B1243)</f>
        <v>#VALUE!</v>
      </c>
    </row>
    <row r="1244" hidden="1" spans="1:18">
      <c r="A1244" s="86"/>
      <c r="B1244" s="40" t="s">
        <v>78</v>
      </c>
      <c r="C1244" s="70">
        <v>45773</v>
      </c>
      <c r="D1244" s="113" t="e">
        <f>VLOOKUP(B1244,辅助信息!E:K,7,FALSE)</f>
        <v>#N/A</v>
      </c>
      <c r="E1244" s="40" t="str">
        <f>VLOOKUP(F1244,辅助信息!A:B,2,FALSE)</f>
        <v>螺纹钢</v>
      </c>
      <c r="F1244" s="40" t="s">
        <v>27</v>
      </c>
      <c r="G1244" s="36">
        <v>3</v>
      </c>
      <c r="H1244" s="112"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1">
        <v>45773</v>
      </c>
      <c r="O1244" s="62">
        <f ca="1" t="shared" si="53"/>
        <v>0</v>
      </c>
      <c r="P1244" s="62">
        <f ca="1" t="shared" si="52"/>
        <v>187</v>
      </c>
      <c r="Q1244" s="29" t="e">
        <f>VLOOKUP(B1244,辅助信息!E:M,9,FALSE)</f>
        <v>#N/A</v>
      </c>
      <c r="R1244" s="26" vm="1" t="e">
        <f>_xlfn._xlws.FILTER(辅助信息!D:D,辅助信息!E:E=B1244)</f>
        <v>#VALUE!</v>
      </c>
    </row>
    <row r="1245" hidden="1" spans="1:18">
      <c r="A1245" s="86"/>
      <c r="B1245" s="40" t="s">
        <v>78</v>
      </c>
      <c r="C1245" s="70">
        <v>45773</v>
      </c>
      <c r="D1245" s="113" t="e">
        <f>VLOOKUP(B1245,辅助信息!E:K,7,FALSE)</f>
        <v>#N/A</v>
      </c>
      <c r="E1245" s="40" t="str">
        <f>VLOOKUP(F1245,辅助信息!A:B,2,FALSE)</f>
        <v>螺纹钢</v>
      </c>
      <c r="F1245" s="40" t="s">
        <v>33</v>
      </c>
      <c r="G1245" s="36">
        <v>30</v>
      </c>
      <c r="H1245" s="112"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1">
        <v>45773</v>
      </c>
      <c r="O1245" s="62">
        <f ca="1" t="shared" si="53"/>
        <v>0</v>
      </c>
      <c r="P1245" s="62">
        <f ca="1" t="shared" si="52"/>
        <v>187</v>
      </c>
      <c r="Q1245" s="29" t="e">
        <f>VLOOKUP(B1245,辅助信息!E:M,9,FALSE)</f>
        <v>#N/A</v>
      </c>
      <c r="R1245" s="26" vm="1" t="e">
        <f>_xlfn._xlws.FILTER(辅助信息!D:D,辅助信息!E:E=B1245)</f>
        <v>#VALUE!</v>
      </c>
    </row>
    <row r="1246" hidden="1" spans="1:18">
      <c r="A1246" s="77"/>
      <c r="B1246" s="40" t="s">
        <v>78</v>
      </c>
      <c r="C1246" s="70">
        <v>45773</v>
      </c>
      <c r="D1246" s="113" t="e">
        <f>VLOOKUP(B1246,辅助信息!E:K,7,FALSE)</f>
        <v>#N/A</v>
      </c>
      <c r="E1246" s="40" t="str">
        <f>VLOOKUP(F1246,辅助信息!A:B,2,FALSE)</f>
        <v>螺纹钢</v>
      </c>
      <c r="F1246" s="40" t="s">
        <v>28</v>
      </c>
      <c r="G1246" s="36">
        <v>3</v>
      </c>
      <c r="H1246" s="112"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1">
        <v>45773</v>
      </c>
      <c r="O1246" s="62">
        <f ca="1" t="shared" si="53"/>
        <v>0</v>
      </c>
      <c r="P1246" s="62">
        <f ca="1" t="shared" si="52"/>
        <v>187</v>
      </c>
      <c r="Q1246" s="29" t="e">
        <f>VLOOKUP(B1246,辅助信息!E:M,9,FALSE)</f>
        <v>#N/A</v>
      </c>
      <c r="R1246" s="26" vm="1" t="e">
        <f>_xlfn._xlws.FILTER(辅助信息!D:D,辅助信息!E:E=B1246)</f>
        <v>#VALUE!</v>
      </c>
    </row>
    <row r="1247" hidden="1" spans="1:18">
      <c r="A1247" s="77"/>
      <c r="B1247" s="40" t="s">
        <v>54</v>
      </c>
      <c r="C1247" s="70">
        <v>45773</v>
      </c>
      <c r="D1247" s="113" t="e">
        <f>VLOOKUP(B1247,辅助信息!E:K,7,FALSE)</f>
        <v>#N/A</v>
      </c>
      <c r="E1247" s="40" t="str">
        <f>VLOOKUP(F1247,辅助信息!A:B,2,FALSE)</f>
        <v>螺纹钢</v>
      </c>
      <c r="F1247" s="40" t="s">
        <v>27</v>
      </c>
      <c r="G1247" s="36">
        <v>26</v>
      </c>
      <c r="H1247" s="112"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1">
        <v>45773</v>
      </c>
      <c r="O1247" s="62">
        <f ca="1" t="shared" si="53"/>
        <v>0</v>
      </c>
      <c r="P1247" s="62">
        <f ca="1" t="shared" si="52"/>
        <v>187</v>
      </c>
      <c r="Q1247" s="29" t="e">
        <f>VLOOKUP(B1247,辅助信息!E:M,9,FALSE)</f>
        <v>#N/A</v>
      </c>
      <c r="R1247" s="26" vm="1" t="e">
        <f>_xlfn._xlws.FILTER(辅助信息!D:D,辅助信息!E:E=B1247)</f>
        <v>#VALUE!</v>
      </c>
    </row>
    <row r="1248" hidden="1" spans="1:18">
      <c r="A1248" s="77"/>
      <c r="B1248" s="40" t="s">
        <v>54</v>
      </c>
      <c r="C1248" s="70">
        <v>45773</v>
      </c>
      <c r="D1248" s="113" t="e">
        <f>VLOOKUP(B1248,辅助信息!E:K,7,FALSE)</f>
        <v>#N/A</v>
      </c>
      <c r="E1248" s="40" t="str">
        <f>VLOOKUP(F1248,辅助信息!A:B,2,FALSE)</f>
        <v>螺纹钢</v>
      </c>
      <c r="F1248" s="40" t="s">
        <v>32</v>
      </c>
      <c r="G1248" s="36">
        <v>33</v>
      </c>
      <c r="H1248" s="112"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1">
        <v>45773</v>
      </c>
      <c r="O1248" s="62">
        <f ca="1" t="shared" si="53"/>
        <v>0</v>
      </c>
      <c r="P1248" s="62">
        <f ca="1" t="shared" si="52"/>
        <v>187</v>
      </c>
      <c r="Q1248" s="29" t="e">
        <f>VLOOKUP(B1248,辅助信息!E:M,9,FALSE)</f>
        <v>#N/A</v>
      </c>
      <c r="R1248" s="26" vm="1" t="e">
        <f>_xlfn._xlws.FILTER(辅助信息!D:D,辅助信息!E:E=B1248)</f>
        <v>#VALUE!</v>
      </c>
    </row>
    <row r="1249" hidden="1" spans="1:18">
      <c r="A1249" s="77"/>
      <c r="B1249" s="40" t="s">
        <v>54</v>
      </c>
      <c r="C1249" s="70">
        <v>45773</v>
      </c>
      <c r="D1249" s="113" t="e">
        <f>VLOOKUP(B1249,辅助信息!E:K,7,FALSE)</f>
        <v>#N/A</v>
      </c>
      <c r="E1249" s="40" t="str">
        <f>VLOOKUP(F1249,辅助信息!A:B,2,FALSE)</f>
        <v>螺纹钢</v>
      </c>
      <c r="F1249" s="40" t="s">
        <v>33</v>
      </c>
      <c r="G1249" s="36">
        <v>70</v>
      </c>
      <c r="H1249" s="112"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1">
        <v>45773</v>
      </c>
      <c r="O1249" s="62">
        <f ca="1" t="shared" si="53"/>
        <v>0</v>
      </c>
      <c r="P1249" s="62">
        <f ca="1" t="shared" si="52"/>
        <v>187</v>
      </c>
      <c r="Q1249" s="29" t="e">
        <f>VLOOKUP(B1249,辅助信息!E:M,9,FALSE)</f>
        <v>#N/A</v>
      </c>
      <c r="R1249" s="26" vm="1" t="e">
        <f>_xlfn._xlws.FILTER(辅助信息!D:D,辅助信息!E:E=B1249)</f>
        <v>#VALUE!</v>
      </c>
    </row>
    <row r="1250" hidden="1" spans="1:18">
      <c r="A1250" s="77"/>
      <c r="B1250" s="40" t="s">
        <v>54</v>
      </c>
      <c r="C1250" s="70">
        <v>45773</v>
      </c>
      <c r="D1250" s="113" t="e">
        <f>VLOOKUP(B1250,辅助信息!E:K,7,FALSE)</f>
        <v>#N/A</v>
      </c>
      <c r="E1250" s="40" t="str">
        <f>VLOOKUP(F1250,辅助信息!A:B,2,FALSE)</f>
        <v>螺纹钢</v>
      </c>
      <c r="F1250" s="40" t="s">
        <v>28</v>
      </c>
      <c r="G1250" s="36">
        <v>33</v>
      </c>
      <c r="H1250" s="112"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1">
        <v>45773</v>
      </c>
      <c r="O1250" s="62">
        <f ca="1" t="shared" si="53"/>
        <v>0</v>
      </c>
      <c r="P1250" s="62">
        <f ca="1" t="shared" si="52"/>
        <v>187</v>
      </c>
      <c r="Q1250" s="29" t="e">
        <f>VLOOKUP(B1250,辅助信息!E:M,9,FALSE)</f>
        <v>#N/A</v>
      </c>
      <c r="R1250" s="26" vm="1" t="e">
        <f>_xlfn._xlws.FILTER(辅助信息!D:D,辅助信息!E:E=B1250)</f>
        <v>#VALUE!</v>
      </c>
    </row>
    <row r="1251" hidden="1" spans="1:18">
      <c r="A1251" s="77"/>
      <c r="B1251" s="40" t="s">
        <v>54</v>
      </c>
      <c r="C1251" s="70">
        <v>45773</v>
      </c>
      <c r="D1251" s="113" t="e">
        <f>VLOOKUP(B1251,辅助信息!E:K,7,FALSE)</f>
        <v>#N/A</v>
      </c>
      <c r="E1251" s="40" t="str">
        <f>VLOOKUP(F1251,辅助信息!A:B,2,FALSE)</f>
        <v>螺纹钢</v>
      </c>
      <c r="F1251" s="40" t="s">
        <v>18</v>
      </c>
      <c r="G1251" s="36">
        <v>3</v>
      </c>
      <c r="H1251" s="112"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1">
        <v>45773</v>
      </c>
      <c r="O1251" s="62">
        <f ca="1" t="shared" si="53"/>
        <v>0</v>
      </c>
      <c r="P1251" s="62">
        <f ca="1" t="shared" si="52"/>
        <v>187</v>
      </c>
      <c r="Q1251" s="29" t="e">
        <f>VLOOKUP(B1251,辅助信息!E:M,9,FALSE)</f>
        <v>#N/A</v>
      </c>
      <c r="R1251" s="26" vm="1" t="e">
        <f>_xlfn._xlws.FILTER(辅助信息!D:D,辅助信息!E:E=B1251)</f>
        <v>#VALUE!</v>
      </c>
    </row>
    <row r="1252" hidden="1" spans="1:18">
      <c r="A1252" s="114"/>
      <c r="B1252" s="40" t="s">
        <v>54</v>
      </c>
      <c r="C1252" s="70">
        <v>45773</v>
      </c>
      <c r="D1252" s="113"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1">
        <v>45773</v>
      </c>
      <c r="O1252" s="62">
        <f ca="1" t="shared" si="53"/>
        <v>0</v>
      </c>
      <c r="P1252" s="62">
        <f ca="1" t="shared" si="52"/>
        <v>187</v>
      </c>
      <c r="Q1252" s="29" t="e">
        <f>VLOOKUP(B1252,辅助信息!E:M,9,FALSE)</f>
        <v>#N/A</v>
      </c>
      <c r="R1252" s="26" vm="1" t="e">
        <f>_xlfn._xlws.FILTER(辅助信息!D:D,辅助信息!E:E=B1252)</f>
        <v>#VALUE!</v>
      </c>
    </row>
    <row r="1253" hidden="1" spans="1:18">
      <c r="A1253" s="114"/>
      <c r="B1253" s="40" t="s">
        <v>74</v>
      </c>
      <c r="C1253" s="70">
        <v>45773</v>
      </c>
      <c r="D1253" s="113"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1">
        <v>45773</v>
      </c>
      <c r="O1253" s="62">
        <f ca="1" t="shared" si="53"/>
        <v>0</v>
      </c>
      <c r="P1253" s="62">
        <f ca="1" t="shared" si="52"/>
        <v>187</v>
      </c>
      <c r="Q1253" s="29" t="e">
        <f>VLOOKUP(B1253,辅助信息!E:M,9,FALSE)</f>
        <v>#N/A</v>
      </c>
      <c r="R1253" s="26" vm="1" t="e">
        <f>_xlfn._xlws.FILTER(辅助信息!D:D,辅助信息!E:E=B1253)</f>
        <v>#VALUE!</v>
      </c>
    </row>
    <row r="1254" hidden="1" spans="1:18">
      <c r="A1254" s="114"/>
      <c r="B1254" s="40" t="s">
        <v>74</v>
      </c>
      <c r="C1254" s="70">
        <v>45773</v>
      </c>
      <c r="D1254" s="113"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1">
        <v>45773</v>
      </c>
      <c r="O1254" s="62">
        <f ca="1" t="shared" si="53"/>
        <v>0</v>
      </c>
      <c r="P1254" s="62">
        <f ca="1" t="shared" si="52"/>
        <v>187</v>
      </c>
      <c r="Q1254" s="29" t="e">
        <f>VLOOKUP(B1254,辅助信息!E:M,9,FALSE)</f>
        <v>#N/A</v>
      </c>
      <c r="R1254" s="26" vm="1" t="e">
        <f>_xlfn._xlws.FILTER(辅助信息!D:D,辅助信息!E:E=B1254)</f>
        <v>#VALUE!</v>
      </c>
    </row>
    <row r="1255" hidden="1" spans="2:18">
      <c r="B1255" s="40" t="s">
        <v>81</v>
      </c>
      <c r="C1255" s="70">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1">
        <v>45775</v>
      </c>
      <c r="O1255" s="62">
        <f ca="1" t="shared" si="53"/>
        <v>0</v>
      </c>
      <c r="P1255" s="62">
        <f ca="1" t="shared" ref="P1255:P1297" si="54">IF(M1255="","",IF(N1255&lt;&gt;"",MAX(N1255-M1255,0),IF(TODAY()&gt;M1255,TODAY()-M1255,0)))</f>
        <v>185</v>
      </c>
      <c r="Q1255" s="29" t="str">
        <f>VLOOKUP(B1255,辅助信息!E:M,9,FALSE)</f>
        <v>ZTWM-CDGS-XS-2024-0030-华西集采-简州大道</v>
      </c>
      <c r="R1255" s="29" t="str">
        <f>_xlfn._xlws.FILTER(辅助信息!D:D,辅助信息!E:E=B1255)</f>
        <v>华西简阳西城嘉苑</v>
      </c>
    </row>
    <row r="1256" hidden="1" spans="2:18">
      <c r="B1256" s="40" t="s">
        <v>81</v>
      </c>
      <c r="C1256" s="70">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1">
        <v>45775</v>
      </c>
      <c r="O1256" s="62">
        <f ca="1" t="shared" si="53"/>
        <v>0</v>
      </c>
      <c r="P1256" s="62">
        <f ca="1" t="shared" si="54"/>
        <v>185</v>
      </c>
      <c r="Q1256" s="29" t="str">
        <f>VLOOKUP(B1256,辅助信息!E:M,9,FALSE)</f>
        <v>ZTWM-CDGS-XS-2024-0030-华西集采-简州大道</v>
      </c>
      <c r="R1256" s="29" t="str">
        <f>_xlfn._xlws.FILTER(辅助信息!D:D,辅助信息!E:E=B1256)</f>
        <v>华西简阳西城嘉苑</v>
      </c>
    </row>
    <row r="1257" hidden="1" spans="2:18">
      <c r="B1257" s="40" t="s">
        <v>81</v>
      </c>
      <c r="C1257" s="70">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1">
        <v>45775</v>
      </c>
      <c r="O1257" s="62">
        <f ca="1" t="shared" si="53"/>
        <v>0</v>
      </c>
      <c r="P1257" s="62">
        <f ca="1" t="shared" si="54"/>
        <v>185</v>
      </c>
      <c r="Q1257" s="29" t="str">
        <f>VLOOKUP(B1257,辅助信息!E:M,9,FALSE)</f>
        <v>ZTWM-CDGS-XS-2024-0030-华西集采-简州大道</v>
      </c>
      <c r="R1257" s="29" t="str">
        <f>_xlfn._xlws.FILTER(辅助信息!D:D,辅助信息!E:E=B1257)</f>
        <v>华西简阳西城嘉苑</v>
      </c>
    </row>
    <row r="1258" hidden="1" spans="2:18">
      <c r="B1258" s="40" t="s">
        <v>132</v>
      </c>
      <c r="C1258" s="70">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1">
        <v>45775</v>
      </c>
      <c r="O1258" s="62">
        <f ca="1" t="shared" si="53"/>
        <v>0</v>
      </c>
      <c r="P1258" s="62">
        <f ca="1" t="shared" si="54"/>
        <v>185</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0">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1">
        <v>45775</v>
      </c>
      <c r="O1259" s="62">
        <f ca="1" t="shared" si="53"/>
        <v>0</v>
      </c>
      <c r="P1259" s="62">
        <f ca="1" t="shared" si="54"/>
        <v>185</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0">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1">
        <v>45775</v>
      </c>
      <c r="O1260" s="62">
        <f ca="1" t="shared" si="53"/>
        <v>0</v>
      </c>
      <c r="P1260" s="62">
        <f ca="1" t="shared" si="54"/>
        <v>185</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0">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1">
        <v>45775</v>
      </c>
      <c r="O1261" s="62">
        <f ca="1" t="shared" si="53"/>
        <v>0</v>
      </c>
      <c r="P1261" s="62">
        <f ca="1" t="shared" si="54"/>
        <v>185</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0">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1">
        <v>45775</v>
      </c>
      <c r="O1262" s="62">
        <f ca="1" t="shared" si="53"/>
        <v>0</v>
      </c>
      <c r="P1262" s="62">
        <f ca="1" t="shared" si="54"/>
        <v>185</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0">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1">
        <v>45775</v>
      </c>
      <c r="O1263" s="62">
        <f ca="1" t="shared" si="53"/>
        <v>0</v>
      </c>
      <c r="P1263" s="62">
        <f ca="1" t="shared" si="54"/>
        <v>185</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0">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1">
        <v>45775</v>
      </c>
      <c r="O1264" s="62">
        <f ca="1" t="shared" si="53"/>
        <v>0</v>
      </c>
      <c r="P1264" s="62">
        <f ca="1" t="shared" si="54"/>
        <v>185</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0">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5">
        <v>45769</v>
      </c>
      <c r="N1265" s="29"/>
      <c r="O1265" s="26">
        <f ca="1" t="shared" si="53"/>
        <v>0</v>
      </c>
      <c r="P1265" s="62">
        <f ca="1" t="shared" si="54"/>
        <v>191</v>
      </c>
      <c r="Q1265" s="29" t="str">
        <f>VLOOKUP(B1265,辅助信息!E:M,9,FALSE)</f>
        <v>ZTWM-CDGS-XS-2024-0030-华西集采-简州大道</v>
      </c>
      <c r="R1265" s="118" t="str">
        <f>_xlfn._xlws.FILTER(辅助信息!D:D,辅助信息!E:E=B1265)</f>
        <v>华西简阳西城嘉苑</v>
      </c>
    </row>
    <row r="1266" hidden="1" spans="1:18">
      <c r="A1266" s="26"/>
      <c r="B1266" s="40" t="s">
        <v>81</v>
      </c>
      <c r="C1266" s="70">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5">
        <v>45769</v>
      </c>
      <c r="N1266" s="29"/>
      <c r="O1266" s="26">
        <f ca="1" t="shared" si="53"/>
        <v>0</v>
      </c>
      <c r="P1266" s="62">
        <f ca="1" t="shared" si="54"/>
        <v>191</v>
      </c>
      <c r="Q1266" s="29" t="str">
        <f>VLOOKUP(B1266,辅助信息!E:M,9,FALSE)</f>
        <v>ZTWM-CDGS-XS-2024-0030-华西集采-简州大道</v>
      </c>
      <c r="R1266" s="118" t="str">
        <f>_xlfn._xlws.FILTER(辅助信息!D:D,辅助信息!E:E=B1266)</f>
        <v>华西简阳西城嘉苑</v>
      </c>
    </row>
    <row r="1267" hidden="1" spans="1:18">
      <c r="A1267" s="62"/>
      <c r="B1267" s="40" t="s">
        <v>81</v>
      </c>
      <c r="C1267" s="70">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6">
        <v>45775</v>
      </c>
      <c r="N1267" s="117"/>
      <c r="O1267" s="62">
        <f ca="1" t="shared" si="53"/>
        <v>0</v>
      </c>
      <c r="P1267" s="62">
        <f ca="1" t="shared" si="54"/>
        <v>185</v>
      </c>
      <c r="Q1267" s="29" t="str">
        <f>VLOOKUP(B1267,辅助信息!E:M,9,FALSE)</f>
        <v>ZTWM-CDGS-XS-2024-0030-华西集采-简州大道</v>
      </c>
      <c r="R1267" s="118" t="str">
        <f>_xlfn._xlws.FILTER(辅助信息!D:D,辅助信息!E:E=B1267)</f>
        <v>华西简阳西城嘉苑</v>
      </c>
    </row>
    <row r="1268" hidden="1" spans="1:18">
      <c r="A1268" s="62"/>
      <c r="B1268" s="40" t="s">
        <v>81</v>
      </c>
      <c r="C1268" s="70">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6">
        <v>45775</v>
      </c>
      <c r="N1268" s="117"/>
      <c r="O1268" s="62">
        <f ca="1" t="shared" si="53"/>
        <v>0</v>
      </c>
      <c r="P1268" s="62">
        <f ca="1" t="shared" si="54"/>
        <v>185</v>
      </c>
      <c r="Q1268" s="29" t="str">
        <f>VLOOKUP(B1268,辅助信息!E:M,9,FALSE)</f>
        <v>ZTWM-CDGS-XS-2024-0030-华西集采-简州大道</v>
      </c>
      <c r="R1268" s="118" t="str">
        <f>_xlfn._xlws.FILTER(辅助信息!D:D,辅助信息!E:E=B1268)</f>
        <v>华西简阳西城嘉苑</v>
      </c>
    </row>
    <row r="1269" hidden="1" spans="1:18">
      <c r="A1269" s="62"/>
      <c r="B1269" s="40" t="s">
        <v>81</v>
      </c>
      <c r="C1269" s="70">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6">
        <v>45775</v>
      </c>
      <c r="N1269" s="117"/>
      <c r="O1269" s="62">
        <f ca="1" t="shared" si="53"/>
        <v>0</v>
      </c>
      <c r="P1269" s="62">
        <f ca="1" t="shared" si="54"/>
        <v>185</v>
      </c>
      <c r="Q1269" s="29" t="str">
        <f>VLOOKUP(B1269,辅助信息!E:M,9,FALSE)</f>
        <v>ZTWM-CDGS-XS-2024-0030-华西集采-简州大道</v>
      </c>
      <c r="R1269" s="118" t="str">
        <f>_xlfn._xlws.FILTER(辅助信息!D:D,辅助信息!E:E=B1269)</f>
        <v>华西简阳西城嘉苑</v>
      </c>
    </row>
    <row r="1270" hidden="1" spans="2:18">
      <c r="B1270" s="40" t="s">
        <v>31</v>
      </c>
      <c r="C1270" s="70">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1">
        <v>45779</v>
      </c>
      <c r="O1270" s="62">
        <f ca="1" t="shared" si="53"/>
        <v>0</v>
      </c>
      <c r="P1270" s="62">
        <f ca="1" t="shared" si="54"/>
        <v>181</v>
      </c>
      <c r="Q1270" s="29" t="str">
        <f>VLOOKUP(B1270,辅助信息!E:M,9,FALSE)</f>
        <v>ZTWM-CDGS-XS-2024-0179-四川商投-射洪城乡一体化建设项目</v>
      </c>
      <c r="R1270" s="118" t="str">
        <f>_xlfn._xlws.FILTER(辅助信息!D:D,辅助信息!E:E=B1270)</f>
        <v>四川商建
射洪城乡一体化项目</v>
      </c>
    </row>
    <row r="1271" hidden="1" spans="2:18">
      <c r="B1271" s="40" t="s">
        <v>31</v>
      </c>
      <c r="C1271" s="70">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1">
        <v>45779</v>
      </c>
      <c r="O1271" s="62">
        <f ca="1" t="shared" ref="O1271:O1276" si="55">IF(OR(M1271="",N1271&lt;&gt;""),"",MAX(M1271-TODAY(),0))</f>
        <v>0</v>
      </c>
      <c r="P1271" s="62">
        <f ca="1" t="shared" si="54"/>
        <v>181</v>
      </c>
      <c r="Q1271" s="29" t="str">
        <f>VLOOKUP(B1271,辅助信息!E:M,9,FALSE)</f>
        <v>ZTWM-CDGS-XS-2024-0179-四川商投-射洪城乡一体化建设项目</v>
      </c>
      <c r="R1271" s="118" t="str">
        <f>_xlfn._xlws.FILTER(辅助信息!D:D,辅助信息!E:E=B1271)</f>
        <v>四川商建
射洪城乡一体化项目</v>
      </c>
    </row>
    <row r="1272" hidden="1" spans="2:18">
      <c r="B1272" s="40" t="s">
        <v>31</v>
      </c>
      <c r="C1272" s="70">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1">
        <v>45779</v>
      </c>
      <c r="O1272" s="62">
        <f ca="1" t="shared" si="55"/>
        <v>0</v>
      </c>
      <c r="P1272" s="62">
        <f ca="1" t="shared" si="54"/>
        <v>181</v>
      </c>
      <c r="Q1272" s="29" t="str">
        <f>VLOOKUP(B1272,辅助信息!E:M,9,FALSE)</f>
        <v>ZTWM-CDGS-XS-2024-0179-四川商投-射洪城乡一体化建设项目</v>
      </c>
      <c r="R1272" s="118" t="str">
        <f>_xlfn._xlws.FILTER(辅助信息!D:D,辅助信息!E:E=B1272)</f>
        <v>四川商建
射洪城乡一体化项目</v>
      </c>
    </row>
    <row r="1273" hidden="1" spans="2:18">
      <c r="B1273" s="40" t="s">
        <v>31</v>
      </c>
      <c r="C1273" s="70">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1">
        <v>45779</v>
      </c>
      <c r="O1273" s="62">
        <f ca="1" t="shared" si="55"/>
        <v>0</v>
      </c>
      <c r="P1273" s="62">
        <f ca="1" t="shared" si="54"/>
        <v>181</v>
      </c>
      <c r="Q1273" s="29" t="str">
        <f>VLOOKUP(B1273,辅助信息!E:M,9,FALSE)</f>
        <v>ZTWM-CDGS-XS-2024-0179-四川商投-射洪城乡一体化建设项目</v>
      </c>
      <c r="R1273" s="118" t="str">
        <f>_xlfn._xlws.FILTER(辅助信息!D:D,辅助信息!E:E=B1273)</f>
        <v>四川商建
射洪城乡一体化项目</v>
      </c>
    </row>
    <row r="1274" hidden="1" spans="2:18">
      <c r="B1274" s="40" t="s">
        <v>31</v>
      </c>
      <c r="C1274" s="70">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1">
        <v>45779</v>
      </c>
      <c r="O1274" s="62">
        <f ca="1" t="shared" si="55"/>
        <v>0</v>
      </c>
      <c r="P1274" s="62">
        <f ca="1" t="shared" si="54"/>
        <v>181</v>
      </c>
      <c r="Q1274" s="29" t="str">
        <f>VLOOKUP(B1274,辅助信息!E:M,9,FALSE)</f>
        <v>ZTWM-CDGS-XS-2024-0179-四川商投-射洪城乡一体化建设项目</v>
      </c>
      <c r="R1274" s="118" t="str">
        <f>_xlfn._xlws.FILTER(辅助信息!D:D,辅助信息!E:E=B1274)</f>
        <v>四川商建
射洪城乡一体化项目</v>
      </c>
    </row>
    <row r="1275" hidden="1" spans="2:18">
      <c r="B1275" s="40" t="s">
        <v>31</v>
      </c>
      <c r="C1275" s="70">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1">
        <v>45779</v>
      </c>
      <c r="O1275" s="62">
        <f ca="1" t="shared" si="55"/>
        <v>0</v>
      </c>
      <c r="P1275" s="62">
        <f ca="1" t="shared" si="54"/>
        <v>181</v>
      </c>
      <c r="Q1275" s="29" t="str">
        <f>VLOOKUP(B1275,辅助信息!E:M,9,FALSE)</f>
        <v>ZTWM-CDGS-XS-2024-0179-四川商投-射洪城乡一体化建设项目</v>
      </c>
      <c r="R1275" s="118" t="str">
        <f>_xlfn._xlws.FILTER(辅助信息!D:D,辅助信息!E:E=B1275)</f>
        <v>四川商建
射洪城乡一体化项目</v>
      </c>
    </row>
    <row r="1276" hidden="1" spans="2:18">
      <c r="B1276" s="40" t="s">
        <v>31</v>
      </c>
      <c r="C1276" s="70">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6">
        <v>45775</v>
      </c>
      <c r="O1276" s="62">
        <f ca="1" t="shared" si="55"/>
        <v>0</v>
      </c>
      <c r="P1276" s="62">
        <f ca="1" t="shared" si="54"/>
        <v>185</v>
      </c>
      <c r="Q1276" s="29" t="str">
        <f>VLOOKUP(B1276,辅助信息!E:M,9,FALSE)</f>
        <v>ZTWM-CDGS-XS-2024-0179-四川商投-射洪城乡一体化建设项目</v>
      </c>
      <c r="R1276" s="118" t="str">
        <f>_xlfn._xlws.FILTER(辅助信息!D:D,辅助信息!E:E=B1276)</f>
        <v>四川商建
射洪城乡一体化项目</v>
      </c>
    </row>
    <row r="1277" hidden="1" spans="2:18">
      <c r="B1277" s="40" t="s">
        <v>81</v>
      </c>
      <c r="C1277" s="70">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1">
        <v>45777</v>
      </c>
      <c r="O1277" s="62">
        <f ca="1" t="shared" ref="O1277:O1286" si="56">IF(OR(M1277="",N1277&lt;&gt;""),"",MAX(M1277-TODAY(),0))</f>
        <v>0</v>
      </c>
      <c r="P1277" s="62">
        <f ca="1" t="shared" si="54"/>
        <v>183</v>
      </c>
      <c r="Q1277" s="29" t="str">
        <f>VLOOKUP(B1277,辅助信息!E:M,9,FALSE)</f>
        <v>ZTWM-CDGS-XS-2024-0030-华西集采-简州大道</v>
      </c>
      <c r="R1277" s="118" t="str">
        <f>_xlfn._xlws.FILTER(辅助信息!D:D,辅助信息!E:E=B1277)</f>
        <v>华西简阳西城嘉苑</v>
      </c>
    </row>
    <row r="1278" hidden="1" spans="2:18">
      <c r="B1278" s="40" t="s">
        <v>81</v>
      </c>
      <c r="C1278" s="70">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1">
        <v>45777</v>
      </c>
      <c r="O1278" s="62">
        <f ca="1" t="shared" si="56"/>
        <v>0</v>
      </c>
      <c r="P1278" s="62">
        <f ca="1" t="shared" si="54"/>
        <v>183</v>
      </c>
      <c r="Q1278" s="29" t="str">
        <f>VLOOKUP(B1278,辅助信息!E:M,9,FALSE)</f>
        <v>ZTWM-CDGS-XS-2024-0030-华西集采-简州大道</v>
      </c>
      <c r="R1278" s="118" t="str">
        <f>_xlfn._xlws.FILTER(辅助信息!D:D,辅助信息!E:E=B1278)</f>
        <v>华西简阳西城嘉苑</v>
      </c>
    </row>
    <row r="1279" hidden="1" spans="2:18">
      <c r="B1279" s="40" t="s">
        <v>81</v>
      </c>
      <c r="C1279" s="70">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1">
        <v>45777</v>
      </c>
      <c r="O1279" s="62">
        <f ca="1" t="shared" si="56"/>
        <v>0</v>
      </c>
      <c r="P1279" s="62">
        <f ca="1" t="shared" si="54"/>
        <v>183</v>
      </c>
      <c r="Q1279" s="29" t="str">
        <f>VLOOKUP(B1279,辅助信息!E:M,9,FALSE)</f>
        <v>ZTWM-CDGS-XS-2024-0030-华西集采-简州大道</v>
      </c>
      <c r="R1279" s="118" t="str">
        <f>_xlfn._xlws.FILTER(辅助信息!D:D,辅助信息!E:E=B1279)</f>
        <v>华西简阳西城嘉苑</v>
      </c>
    </row>
    <row r="1280" hidden="1" spans="2:18">
      <c r="B1280" s="40" t="s">
        <v>81</v>
      </c>
      <c r="C1280" s="70">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1">
        <v>45777</v>
      </c>
      <c r="O1280" s="62">
        <f ca="1" t="shared" si="56"/>
        <v>0</v>
      </c>
      <c r="P1280" s="62">
        <f ca="1" t="shared" si="54"/>
        <v>183</v>
      </c>
      <c r="Q1280" s="29" t="str">
        <f>VLOOKUP(B1280,辅助信息!E:M,9,FALSE)</f>
        <v>ZTWM-CDGS-XS-2024-0030-华西集采-简州大道</v>
      </c>
      <c r="R1280" s="118" t="str">
        <f>_xlfn._xlws.FILTER(辅助信息!D:D,辅助信息!E:E=B1280)</f>
        <v>华西简阳西城嘉苑</v>
      </c>
    </row>
    <row r="1281" hidden="1" spans="2:18">
      <c r="B1281" s="40" t="s">
        <v>81</v>
      </c>
      <c r="C1281" s="70">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1">
        <v>45777</v>
      </c>
      <c r="O1281" s="62">
        <f ca="1" t="shared" si="56"/>
        <v>0</v>
      </c>
      <c r="P1281" s="62">
        <f ca="1" t="shared" si="54"/>
        <v>183</v>
      </c>
      <c r="Q1281" s="29" t="str">
        <f>VLOOKUP(B1281,辅助信息!E:M,9,FALSE)</f>
        <v>ZTWM-CDGS-XS-2024-0030-华西集采-简州大道</v>
      </c>
      <c r="R1281" s="118" t="str">
        <f>_xlfn._xlws.FILTER(辅助信息!D:D,辅助信息!E:E=B1281)</f>
        <v>华西简阳西城嘉苑</v>
      </c>
    </row>
    <row r="1282" hidden="1" spans="2:18">
      <c r="B1282" s="40" t="s">
        <v>81</v>
      </c>
      <c r="C1282" s="70">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1">
        <v>45777</v>
      </c>
      <c r="O1282" s="62">
        <f ca="1" t="shared" si="56"/>
        <v>0</v>
      </c>
      <c r="P1282" s="62">
        <f ca="1" t="shared" si="54"/>
        <v>183</v>
      </c>
      <c r="Q1282" s="29" t="str">
        <f>VLOOKUP(B1282,辅助信息!E:M,9,FALSE)</f>
        <v>ZTWM-CDGS-XS-2024-0030-华西集采-简州大道</v>
      </c>
      <c r="R1282" s="118" t="str">
        <f>_xlfn._xlws.FILTER(辅助信息!D:D,辅助信息!E:E=B1282)</f>
        <v>华西简阳西城嘉苑</v>
      </c>
    </row>
    <row r="1283" hidden="1" spans="2:18">
      <c r="B1283" s="40" t="s">
        <v>81</v>
      </c>
      <c r="C1283" s="70">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1">
        <v>45777</v>
      </c>
      <c r="O1283" s="62">
        <f ca="1" t="shared" si="56"/>
        <v>0</v>
      </c>
      <c r="P1283" s="62">
        <f ca="1" t="shared" si="54"/>
        <v>183</v>
      </c>
      <c r="Q1283" s="29" t="str">
        <f>VLOOKUP(B1283,辅助信息!E:M,9,FALSE)</f>
        <v>ZTWM-CDGS-XS-2024-0030-华西集采-简州大道</v>
      </c>
      <c r="R1283" s="118" t="str">
        <f>_xlfn._xlws.FILTER(辅助信息!D:D,辅助信息!E:E=B1283)</f>
        <v>华西简阳西城嘉苑</v>
      </c>
    </row>
    <row r="1284" hidden="1" spans="2:18">
      <c r="B1284" s="40" t="s">
        <v>81</v>
      </c>
      <c r="C1284" s="70">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1">
        <v>45777</v>
      </c>
      <c r="O1284" s="62">
        <f ca="1" t="shared" si="56"/>
        <v>0</v>
      </c>
      <c r="P1284" s="62">
        <f ca="1" t="shared" si="54"/>
        <v>183</v>
      </c>
      <c r="Q1284" s="29" t="str">
        <f>VLOOKUP(B1284,辅助信息!E:M,9,FALSE)</f>
        <v>ZTWM-CDGS-XS-2024-0030-华西集采-简州大道</v>
      </c>
      <c r="R1284" s="118" t="str">
        <f>_xlfn._xlws.FILTER(辅助信息!D:D,辅助信息!E:E=B1284)</f>
        <v>华西简阳西城嘉苑</v>
      </c>
    </row>
    <row r="1285" hidden="1" spans="2:18">
      <c r="B1285" s="40" t="s">
        <v>81</v>
      </c>
      <c r="C1285" s="70">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1">
        <v>45777</v>
      </c>
      <c r="O1285" s="62">
        <f ca="1" t="shared" si="56"/>
        <v>0</v>
      </c>
      <c r="P1285" s="62">
        <f ca="1" t="shared" si="54"/>
        <v>183</v>
      </c>
      <c r="Q1285" s="29" t="str">
        <f>VLOOKUP(B1285,辅助信息!E:M,9,FALSE)</f>
        <v>ZTWM-CDGS-XS-2024-0030-华西集采-简州大道</v>
      </c>
      <c r="R1285" s="118" t="str">
        <f>_xlfn._xlws.FILTER(辅助信息!D:D,辅助信息!E:E=B1285)</f>
        <v>华西简阳西城嘉苑</v>
      </c>
    </row>
    <row r="1286" hidden="1" spans="1:18">
      <c r="A1286" s="119"/>
      <c r="B1286" s="40" t="s">
        <v>81</v>
      </c>
      <c r="C1286" s="70">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1">
        <v>45777</v>
      </c>
      <c r="O1286" s="62">
        <f ca="1" t="shared" si="56"/>
        <v>0</v>
      </c>
      <c r="P1286" s="62">
        <f ca="1" t="shared" si="54"/>
        <v>183</v>
      </c>
      <c r="Q1286" s="29" t="str">
        <f>VLOOKUP(B1286,辅助信息!E:M,9,FALSE)</f>
        <v>ZTWM-CDGS-XS-2024-0030-华西集采-简州大道</v>
      </c>
      <c r="R1286" s="118" t="str">
        <f>_xlfn._xlws.FILTER(辅助信息!D:D,辅助信息!E:E=B1286)</f>
        <v>华西简阳西城嘉苑</v>
      </c>
    </row>
    <row r="1287" hidden="1" spans="1:18">
      <c r="A1287" s="77" t="s">
        <v>144</v>
      </c>
      <c r="B1287" s="40" t="s">
        <v>145</v>
      </c>
      <c r="C1287" s="70">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1">
        <v>45777</v>
      </c>
      <c r="O1287" s="62">
        <f ca="1" t="shared" ref="O1287:O1303" si="57">IF(OR(M1287="",N1287&lt;&gt;""),"",MAX(M1287-TODAY(),0))</f>
        <v>0</v>
      </c>
      <c r="P1287" s="62">
        <f ca="1" t="shared" si="54"/>
        <v>183</v>
      </c>
      <c r="Q1287" s="29">
        <f>VLOOKUP(B1287,辅助信息!E:M,9,FALSE)</f>
        <v>0</v>
      </c>
      <c r="R1287" s="118" t="str">
        <f>_xlfn._xlws.FILTER(辅助信息!D:D,辅助信息!E:E=B1287)</f>
        <v>五冶达州新材料产业园</v>
      </c>
    </row>
    <row r="1288" hidden="1" spans="1:18">
      <c r="A1288" s="77"/>
      <c r="B1288" s="40" t="s">
        <v>145</v>
      </c>
      <c r="C1288" s="70">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1">
        <v>45777</v>
      </c>
      <c r="O1288" s="62">
        <f ca="1" t="shared" si="57"/>
        <v>0</v>
      </c>
      <c r="P1288" s="62">
        <f ca="1" t="shared" si="54"/>
        <v>183</v>
      </c>
      <c r="Q1288" s="29">
        <f>VLOOKUP(B1288,辅助信息!E:M,9,FALSE)</f>
        <v>0</v>
      </c>
      <c r="R1288" s="118" t="str">
        <f>_xlfn._xlws.FILTER(辅助信息!D:D,辅助信息!E:E=B1288)</f>
        <v>五冶达州新材料产业园</v>
      </c>
    </row>
    <row r="1289" hidden="1" spans="1:18">
      <c r="A1289" s="77"/>
      <c r="B1289" s="40" t="s">
        <v>145</v>
      </c>
      <c r="C1289" s="70">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1">
        <v>45777</v>
      </c>
      <c r="O1289" s="62">
        <f ca="1" t="shared" si="57"/>
        <v>0</v>
      </c>
      <c r="P1289" s="62">
        <f ca="1" t="shared" si="54"/>
        <v>183</v>
      </c>
      <c r="Q1289" s="29">
        <f>VLOOKUP(B1289,辅助信息!E:M,9,FALSE)</f>
        <v>0</v>
      </c>
      <c r="R1289" s="118" t="str">
        <f>_xlfn._xlws.FILTER(辅助信息!D:D,辅助信息!E:E=B1289)</f>
        <v>五冶达州新材料产业园</v>
      </c>
    </row>
    <row r="1290" hidden="1" spans="1:18">
      <c r="A1290" s="77"/>
      <c r="B1290" s="40" t="s">
        <v>145</v>
      </c>
      <c r="C1290" s="70">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1">
        <v>45777</v>
      </c>
      <c r="O1290" s="62">
        <f ca="1" t="shared" si="57"/>
        <v>0</v>
      </c>
      <c r="P1290" s="62">
        <f ca="1" t="shared" si="54"/>
        <v>183</v>
      </c>
      <c r="Q1290" s="29">
        <f>VLOOKUP(B1290,辅助信息!E:M,9,FALSE)</f>
        <v>0</v>
      </c>
      <c r="R1290" s="118" t="str">
        <f>_xlfn._xlws.FILTER(辅助信息!D:D,辅助信息!E:E=B1290)</f>
        <v>五冶达州新材料产业园</v>
      </c>
    </row>
    <row r="1291" hidden="1" spans="1:18">
      <c r="A1291" s="77"/>
      <c r="B1291" s="40" t="s">
        <v>145</v>
      </c>
      <c r="C1291" s="70">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1">
        <v>45777</v>
      </c>
      <c r="O1291" s="62">
        <f ca="1" t="shared" si="57"/>
        <v>0</v>
      </c>
      <c r="P1291" s="62">
        <f ca="1" t="shared" si="54"/>
        <v>183</v>
      </c>
      <c r="Q1291" s="29">
        <f>VLOOKUP(B1291,辅助信息!E:M,9,FALSE)</f>
        <v>0</v>
      </c>
      <c r="R1291" s="118" t="str">
        <f>_xlfn._xlws.FILTER(辅助信息!D:D,辅助信息!E:E=B1291)</f>
        <v>五冶达州新材料产业园</v>
      </c>
    </row>
    <row r="1292" hidden="1" spans="1:18">
      <c r="A1292" s="77"/>
      <c r="B1292" s="40" t="s">
        <v>145</v>
      </c>
      <c r="C1292" s="70">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1">
        <v>45777</v>
      </c>
      <c r="O1292" s="62">
        <f ca="1" t="shared" si="57"/>
        <v>0</v>
      </c>
      <c r="P1292" s="62">
        <f ca="1" t="shared" si="54"/>
        <v>183</v>
      </c>
      <c r="Q1292" s="29">
        <f>VLOOKUP(B1292,辅助信息!E:M,9,FALSE)</f>
        <v>0</v>
      </c>
      <c r="R1292" s="118" t="str">
        <f>_xlfn._xlws.FILTER(辅助信息!D:D,辅助信息!E:E=B1292)</f>
        <v>五冶达州新材料产业园</v>
      </c>
    </row>
    <row r="1293" hidden="1" spans="1:18">
      <c r="A1293" s="77"/>
      <c r="B1293" s="40" t="s">
        <v>145</v>
      </c>
      <c r="C1293" s="70">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1">
        <v>45777</v>
      </c>
      <c r="O1293" s="62">
        <f ca="1" t="shared" si="57"/>
        <v>0</v>
      </c>
      <c r="P1293" s="62">
        <f ca="1" t="shared" si="54"/>
        <v>183</v>
      </c>
      <c r="Q1293" s="29">
        <f>VLOOKUP(B1293,辅助信息!E:M,9,FALSE)</f>
        <v>0</v>
      </c>
      <c r="R1293" s="118" t="str">
        <f>_xlfn._xlws.FILTER(辅助信息!D:D,辅助信息!E:E=B1293)</f>
        <v>五冶达州新材料产业园</v>
      </c>
    </row>
    <row r="1294" hidden="1" spans="1:18">
      <c r="A1294" s="119"/>
      <c r="B1294" s="40" t="s">
        <v>147</v>
      </c>
      <c r="C1294" s="70">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1">
        <v>45777</v>
      </c>
      <c r="O1294" s="62">
        <f ca="1" t="shared" si="57"/>
        <v>0</v>
      </c>
      <c r="P1294" s="62">
        <f ca="1" t="shared" si="54"/>
        <v>183</v>
      </c>
      <c r="Q1294" s="29" t="str">
        <f>VLOOKUP(B1294,辅助信息!E:M,9,FALSE)</f>
        <v>ZTWM-CDGS-XS-2024-0134-商投建工达州中医药科技成果示范园项目</v>
      </c>
      <c r="R1294" s="118" t="str">
        <f>_xlfn._xlws.FILTER(辅助信息!D:D,辅助信息!E:E=B1294)</f>
        <v>商投建工达州中医药科技园</v>
      </c>
    </row>
    <row r="1295" hidden="1" spans="1:18">
      <c r="A1295" s="119"/>
      <c r="B1295" s="40" t="s">
        <v>147</v>
      </c>
      <c r="C1295" s="70">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1">
        <v>45777</v>
      </c>
      <c r="O1295" s="62">
        <f ca="1" t="shared" si="57"/>
        <v>0</v>
      </c>
      <c r="P1295" s="62">
        <f ca="1" t="shared" si="54"/>
        <v>183</v>
      </c>
      <c r="Q1295" s="29" t="str">
        <f>VLOOKUP(B1295,辅助信息!E:M,9,FALSE)</f>
        <v>ZTWM-CDGS-XS-2024-0134-商投建工达州中医药科技成果示范园项目</v>
      </c>
      <c r="R1295" s="118" t="str">
        <f>_xlfn._xlws.FILTER(辅助信息!D:D,辅助信息!E:E=B1295)</f>
        <v>商投建工达州中医药科技园</v>
      </c>
    </row>
    <row r="1296" hidden="1" spans="1:18">
      <c r="A1296" s="119"/>
      <c r="B1296" s="40" t="s">
        <v>147</v>
      </c>
      <c r="C1296" s="70">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1">
        <v>45777</v>
      </c>
      <c r="O1296" s="62">
        <f ca="1" t="shared" si="57"/>
        <v>0</v>
      </c>
      <c r="P1296" s="62">
        <f ca="1" t="shared" si="54"/>
        <v>183</v>
      </c>
      <c r="Q1296" s="29" t="str">
        <f>VLOOKUP(B1296,辅助信息!E:M,9,FALSE)</f>
        <v>ZTWM-CDGS-XS-2024-0134-商投建工达州中医药科技成果示范园项目</v>
      </c>
      <c r="R1296" s="118" t="str">
        <f>_xlfn._xlws.FILTER(辅助信息!D:D,辅助信息!E:E=B1296)</f>
        <v>商投建工达州中医药科技园</v>
      </c>
    </row>
    <row r="1297" hidden="1" spans="1:18">
      <c r="A1297" s="119"/>
      <c r="B1297" s="40" t="s">
        <v>147</v>
      </c>
      <c r="C1297" s="70">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1">
        <v>45777</v>
      </c>
      <c r="O1297" s="62">
        <f ca="1" t="shared" si="57"/>
        <v>0</v>
      </c>
      <c r="P1297" s="62">
        <f ca="1" t="shared" si="54"/>
        <v>183</v>
      </c>
      <c r="Q1297" s="29" t="str">
        <f>VLOOKUP(B1297,辅助信息!E:M,9,FALSE)</f>
        <v>ZTWM-CDGS-XS-2024-0134-商投建工达州中医药科技成果示范园项目</v>
      </c>
      <c r="R1297" s="118" t="str">
        <f>_xlfn._xlws.FILTER(辅助信息!D:D,辅助信息!E:E=B1297)</f>
        <v>商投建工达州中医药科技园</v>
      </c>
    </row>
    <row r="1298" hidden="1" spans="1:18">
      <c r="A1298" s="119"/>
      <c r="B1298" s="40" t="s">
        <v>147</v>
      </c>
      <c r="C1298" s="70">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1">
        <v>45777</v>
      </c>
      <c r="O1298" s="62">
        <f ca="1" t="shared" si="57"/>
        <v>0</v>
      </c>
      <c r="P1298" s="62">
        <f ca="1" t="shared" ref="P1298:P1303" si="58">IF(M1298="","",IF(N1298&lt;&gt;"",MAX(N1298-M1298,0),IF(TODAY()&gt;M1298,TODAY()-M1298,0)))</f>
        <v>183</v>
      </c>
      <c r="Q1298" s="29" t="str">
        <f>VLOOKUP(B1298,辅助信息!E:M,9,FALSE)</f>
        <v>ZTWM-CDGS-XS-2024-0134-商投建工达州中医药科技成果示范园项目</v>
      </c>
      <c r="R1298" s="118" t="str">
        <f>_xlfn._xlws.FILTER(辅助信息!D:D,辅助信息!E:E=B1298)</f>
        <v>商投建工达州中医药科技园</v>
      </c>
    </row>
    <row r="1299" hidden="1" spans="1:18">
      <c r="A1299" s="119"/>
      <c r="B1299" s="40" t="s">
        <v>147</v>
      </c>
      <c r="C1299" s="70">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1">
        <v>45777</v>
      </c>
      <c r="O1299" s="62">
        <f ca="1" t="shared" si="57"/>
        <v>0</v>
      </c>
      <c r="P1299" s="62">
        <f ca="1" t="shared" si="58"/>
        <v>183</v>
      </c>
      <c r="Q1299" s="29" t="str">
        <f>VLOOKUP(B1299,辅助信息!E:M,9,FALSE)</f>
        <v>ZTWM-CDGS-XS-2024-0134-商投建工达州中医药科技成果示范园项目</v>
      </c>
      <c r="R1299" s="118" t="str">
        <f>_xlfn._xlws.FILTER(辅助信息!D:D,辅助信息!E:E=B1299)</f>
        <v>商投建工达州中医药科技园</v>
      </c>
    </row>
    <row r="1300" hidden="1" spans="1:18">
      <c r="A1300" s="119"/>
      <c r="B1300" s="40" t="s">
        <v>81</v>
      </c>
      <c r="C1300" s="70">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1">
        <v>45779</v>
      </c>
      <c r="O1300" s="62">
        <f ca="1" t="shared" si="57"/>
        <v>0</v>
      </c>
      <c r="P1300" s="62">
        <f ca="1" t="shared" si="58"/>
        <v>181</v>
      </c>
      <c r="Q1300" s="29" t="str">
        <f>VLOOKUP(B1300,辅助信息!E:M,9,FALSE)</f>
        <v>ZTWM-CDGS-XS-2024-0030-华西集采-简州大道</v>
      </c>
      <c r="R1300" s="118" t="str">
        <f>_xlfn._xlws.FILTER(辅助信息!D:D,辅助信息!E:E=B1300)</f>
        <v>华西简阳西城嘉苑</v>
      </c>
    </row>
    <row r="1301" hidden="1" spans="1:18">
      <c r="A1301" s="119"/>
      <c r="B1301" s="40" t="s">
        <v>81</v>
      </c>
      <c r="C1301" s="70">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1">
        <v>45779</v>
      </c>
      <c r="O1301" s="62">
        <f ca="1" t="shared" si="57"/>
        <v>0</v>
      </c>
      <c r="P1301" s="62">
        <f ca="1" t="shared" si="58"/>
        <v>181</v>
      </c>
      <c r="Q1301" s="29" t="str">
        <f>VLOOKUP(B1301,辅助信息!E:M,9,FALSE)</f>
        <v>ZTWM-CDGS-XS-2024-0030-华西集采-简州大道</v>
      </c>
      <c r="R1301" s="118" t="str">
        <f>_xlfn._xlws.FILTER(辅助信息!D:D,辅助信息!E:E=B1301)</f>
        <v>华西简阳西城嘉苑</v>
      </c>
    </row>
    <row r="1302" hidden="1" spans="2:18">
      <c r="B1302" s="40" t="s">
        <v>81</v>
      </c>
      <c r="C1302" s="70">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1">
        <v>45779</v>
      </c>
      <c r="O1302" s="62">
        <f ca="1" t="shared" si="57"/>
        <v>0</v>
      </c>
      <c r="P1302" s="62">
        <f ca="1" t="shared" si="58"/>
        <v>181</v>
      </c>
      <c r="Q1302" s="29" t="str">
        <f>VLOOKUP(B1302,辅助信息!E:M,9,FALSE)</f>
        <v>ZTWM-CDGS-XS-2024-0030-华西集采-简州大道</v>
      </c>
      <c r="R1302" s="118" t="str">
        <f>_xlfn._xlws.FILTER(辅助信息!D:D,辅助信息!E:E=B1302)</f>
        <v>华西简阳西城嘉苑</v>
      </c>
    </row>
    <row r="1303" hidden="1" spans="2:18">
      <c r="B1303" s="40" t="s">
        <v>81</v>
      </c>
      <c r="C1303" s="70">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1">
        <v>45779</v>
      </c>
      <c r="O1303" s="62">
        <f ca="1" t="shared" si="57"/>
        <v>0</v>
      </c>
      <c r="P1303" s="62">
        <f ca="1" t="shared" si="58"/>
        <v>181</v>
      </c>
      <c r="Q1303" s="29" t="str">
        <f>VLOOKUP(B1303,辅助信息!E:M,9,FALSE)</f>
        <v>ZTWM-CDGS-XS-2024-0030-华西集采-简州大道</v>
      </c>
      <c r="R1303" s="118" t="str">
        <f>_xlfn._xlws.FILTER(辅助信息!D:D,辅助信息!E:E=B1303)</f>
        <v>华西简阳西城嘉苑</v>
      </c>
    </row>
    <row r="1304" hidden="1" spans="2:18">
      <c r="B1304" s="40" t="s">
        <v>81</v>
      </c>
      <c r="C1304" s="70">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1">
        <v>45779</v>
      </c>
      <c r="O1304" s="62">
        <f ca="1" t="shared" ref="O1304:O1335" si="59">IF(OR(M1304="",N1304&lt;&gt;""),"",MAX(M1304-TODAY(),0))</f>
        <v>0</v>
      </c>
      <c r="P1304" s="62">
        <f ca="1" t="shared" ref="P1304:P1335" si="60">IF(M1304="","",IF(N1304&lt;&gt;"",MAX(N1304-M1304,0),IF(TODAY()&gt;M1304,TODAY()-M1304,0)))</f>
        <v>181</v>
      </c>
      <c r="Q1304" s="29" t="str">
        <f>VLOOKUP(B1304,辅助信息!E:M,9,FALSE)</f>
        <v>ZTWM-CDGS-XS-2024-0030-华西集采-简州大道</v>
      </c>
      <c r="R1304" s="118" t="str">
        <f>_xlfn._xlws.FILTER(辅助信息!D:D,辅助信息!E:E=B1304)</f>
        <v>华西简阳西城嘉苑</v>
      </c>
    </row>
    <row r="1305" hidden="1" spans="2:18">
      <c r="B1305" s="40" t="s">
        <v>106</v>
      </c>
      <c r="C1305" s="70">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1">
        <v>45778</v>
      </c>
      <c r="O1305" s="62">
        <f ca="1" t="shared" si="59"/>
        <v>0</v>
      </c>
      <c r="P1305" s="62">
        <f ca="1" t="shared" si="60"/>
        <v>182</v>
      </c>
      <c r="Q1305" s="29" t="str">
        <f>VLOOKUP(B1305,辅助信息!E:M,9,FALSE)</f>
        <v>ZTWM-CDGS-XS-2024-0169-中冶西部钢构-宜宾市南溪区幸福路东路,高县月江镇建设项目</v>
      </c>
      <c r="R1305" s="118" t="str">
        <f>_xlfn._xlws.FILTER(辅助信息!D:D,辅助信息!E:E=B1305)</f>
        <v>五冶钢构-宜宾市南溪区高县月江镇建设项目</v>
      </c>
    </row>
    <row r="1306" hidden="1" spans="2:18">
      <c r="B1306" s="40" t="s">
        <v>106</v>
      </c>
      <c r="C1306" s="70">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1">
        <v>45778</v>
      </c>
      <c r="O1306" s="62">
        <f ca="1" t="shared" si="59"/>
        <v>0</v>
      </c>
      <c r="P1306" s="62">
        <f ca="1" t="shared" si="60"/>
        <v>182</v>
      </c>
      <c r="Q1306" s="29" t="str">
        <f>VLOOKUP(B1306,辅助信息!E:M,9,FALSE)</f>
        <v>ZTWM-CDGS-XS-2024-0169-中冶西部钢构-宜宾市南溪区幸福路东路,高县月江镇建设项目</v>
      </c>
      <c r="R1306" s="118" t="str">
        <f>_xlfn._xlws.FILTER(辅助信息!D:D,辅助信息!E:E=B1306)</f>
        <v>五冶钢构-宜宾市南溪区高县月江镇建设项目</v>
      </c>
    </row>
    <row r="1307" hidden="1" spans="2:18">
      <c r="B1307" s="40" t="s">
        <v>106</v>
      </c>
      <c r="C1307" s="70">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1">
        <v>45778</v>
      </c>
      <c r="O1307" s="62">
        <f ca="1" t="shared" si="59"/>
        <v>0</v>
      </c>
      <c r="P1307" s="62">
        <f ca="1" t="shared" si="60"/>
        <v>182</v>
      </c>
      <c r="Q1307" s="29" t="str">
        <f>VLOOKUP(B1307,辅助信息!E:M,9,FALSE)</f>
        <v>ZTWM-CDGS-XS-2024-0169-中冶西部钢构-宜宾市南溪区幸福路东路,高县月江镇建设项目</v>
      </c>
      <c r="R1307" s="118" t="str">
        <f>_xlfn._xlws.FILTER(辅助信息!D:D,辅助信息!E:E=B1307)</f>
        <v>五冶钢构-宜宾市南溪区高县月江镇建设项目</v>
      </c>
    </row>
    <row r="1308" hidden="1" spans="2:18">
      <c r="B1308" s="40" t="s">
        <v>106</v>
      </c>
      <c r="C1308" s="70">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1">
        <v>45778</v>
      </c>
      <c r="O1308" s="62">
        <f ca="1" t="shared" si="59"/>
        <v>0</v>
      </c>
      <c r="P1308" s="62">
        <f ca="1" t="shared" si="60"/>
        <v>182</v>
      </c>
      <c r="Q1308" s="29" t="str">
        <f>VLOOKUP(B1308,辅助信息!E:M,9,FALSE)</f>
        <v>ZTWM-CDGS-XS-2024-0169-中冶西部钢构-宜宾市南溪区幸福路东路,高县月江镇建设项目</v>
      </c>
      <c r="R1308" s="118" t="str">
        <f>_xlfn._xlws.FILTER(辅助信息!D:D,辅助信息!E:E=B1308)</f>
        <v>五冶钢构-宜宾市南溪区高县月江镇建设项目</v>
      </c>
    </row>
    <row r="1309" hidden="1" spans="2:18">
      <c r="B1309" s="40" t="s">
        <v>106</v>
      </c>
      <c r="C1309" s="70">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1">
        <v>45778</v>
      </c>
      <c r="O1309" s="62">
        <f ca="1" t="shared" si="59"/>
        <v>0</v>
      </c>
      <c r="P1309" s="62">
        <f ca="1" t="shared" si="60"/>
        <v>182</v>
      </c>
      <c r="Q1309" s="29" t="str">
        <f>VLOOKUP(B1309,辅助信息!E:M,9,FALSE)</f>
        <v>ZTWM-CDGS-XS-2024-0169-中冶西部钢构-宜宾市南溪区幸福路东路,高县月江镇建设项目</v>
      </c>
      <c r="R1309" s="118" t="str">
        <f>_xlfn._xlws.FILTER(辅助信息!D:D,辅助信息!E:E=B1309)</f>
        <v>五冶钢构-宜宾市南溪区高县月江镇建设项目</v>
      </c>
    </row>
    <row r="1310" hidden="1" spans="2:18">
      <c r="B1310" s="40" t="s">
        <v>106</v>
      </c>
      <c r="C1310" s="70">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1">
        <v>45778</v>
      </c>
      <c r="O1310" s="62">
        <f ca="1" t="shared" si="59"/>
        <v>0</v>
      </c>
      <c r="P1310" s="62">
        <f ca="1" t="shared" si="60"/>
        <v>182</v>
      </c>
      <c r="Q1310" s="29" t="str">
        <f>VLOOKUP(B1310,辅助信息!E:M,9,FALSE)</f>
        <v>ZTWM-CDGS-XS-2024-0169-中冶西部钢构-宜宾市南溪区幸福路东路,高县月江镇建设项目</v>
      </c>
      <c r="R1310" s="118" t="str">
        <f>_xlfn._xlws.FILTER(辅助信息!D:D,辅助信息!E:E=B1310)</f>
        <v>五冶钢构-宜宾市南溪区高县月江镇建设项目</v>
      </c>
    </row>
    <row r="1311" hidden="1" spans="2:18">
      <c r="B1311" s="40" t="s">
        <v>107</v>
      </c>
      <c r="C1311" s="70">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1">
        <v>45778</v>
      </c>
      <c r="O1311" s="62">
        <f ca="1" t="shared" si="59"/>
        <v>0</v>
      </c>
      <c r="P1311" s="62">
        <f ca="1" t="shared" si="60"/>
        <v>182</v>
      </c>
      <c r="Q1311" s="29" t="str">
        <f>VLOOKUP(B1311,辅助信息!E:M,9,FALSE)</f>
        <v>ZTWM-CDGS-XS-2024-0169-中冶西部钢构-宜宾市南溪区幸福路东路,高县月江镇建设项目</v>
      </c>
      <c r="R1311" s="118" t="str">
        <f>_xlfn._xlws.FILTER(辅助信息!D:D,辅助信息!E:E=B1311)</f>
        <v>五冶钢构-宜宾市南溪区高县月江镇建设项目</v>
      </c>
    </row>
    <row r="1312" hidden="1" spans="2:18">
      <c r="B1312" s="40" t="s">
        <v>107</v>
      </c>
      <c r="C1312" s="70">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1">
        <v>45778</v>
      </c>
      <c r="O1312" s="62">
        <f ca="1" t="shared" si="59"/>
        <v>0</v>
      </c>
      <c r="P1312" s="62">
        <f ca="1" t="shared" si="60"/>
        <v>182</v>
      </c>
      <c r="Q1312" s="29" t="str">
        <f>VLOOKUP(B1312,辅助信息!E:M,9,FALSE)</f>
        <v>ZTWM-CDGS-XS-2024-0169-中冶西部钢构-宜宾市南溪区幸福路东路,高县月江镇建设项目</v>
      </c>
      <c r="R1312" s="118" t="str">
        <f>_xlfn._xlws.FILTER(辅助信息!D:D,辅助信息!E:E=B1312)</f>
        <v>五冶钢构-宜宾市南溪区高县月江镇建设项目</v>
      </c>
    </row>
    <row r="1313" hidden="1" spans="2:18">
      <c r="B1313" s="40" t="s">
        <v>127</v>
      </c>
      <c r="C1313" s="70">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1">
        <v>45780</v>
      </c>
      <c r="O1313" s="62">
        <f ca="1" t="shared" si="59"/>
        <v>0</v>
      </c>
      <c r="P1313" s="62">
        <f ca="1" t="shared" si="60"/>
        <v>180</v>
      </c>
      <c r="Q1313" s="29" t="str">
        <f>VLOOKUP(B1313,辅助信息!E:M,9,FALSE)</f>
        <v>ZTWM-CDGS-XS-2024-0248-五冶钢构-南充市医学院项目</v>
      </c>
      <c r="R1313" s="118" t="str">
        <f>_xlfn._xlws.FILTER(辅助信息!D:D,辅助信息!E:E=B1313)</f>
        <v>五冶钢构南充医学科学产业园建设项目</v>
      </c>
    </row>
    <row r="1314" hidden="1" spans="2:18">
      <c r="B1314" s="40" t="s">
        <v>127</v>
      </c>
      <c r="C1314" s="70">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1">
        <v>45780</v>
      </c>
      <c r="O1314" s="62">
        <f ca="1" t="shared" si="59"/>
        <v>0</v>
      </c>
      <c r="P1314" s="62">
        <f ca="1" t="shared" si="60"/>
        <v>180</v>
      </c>
      <c r="Q1314" s="29" t="str">
        <f>VLOOKUP(B1314,辅助信息!E:M,9,FALSE)</f>
        <v>ZTWM-CDGS-XS-2024-0248-五冶钢构-南充市医学院项目</v>
      </c>
      <c r="R1314" s="118" t="str">
        <f>_xlfn._xlws.FILTER(辅助信息!D:D,辅助信息!E:E=B1314)</f>
        <v>五冶钢构南充医学科学产业园建设项目</v>
      </c>
    </row>
    <row r="1315" hidden="1" spans="2:18">
      <c r="B1315" s="40" t="s">
        <v>127</v>
      </c>
      <c r="C1315" s="70">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1">
        <v>45780</v>
      </c>
      <c r="O1315" s="62">
        <f ca="1" t="shared" si="59"/>
        <v>0</v>
      </c>
      <c r="P1315" s="62">
        <f ca="1" t="shared" si="60"/>
        <v>180</v>
      </c>
      <c r="Q1315" s="29" t="str">
        <f>VLOOKUP(B1315,辅助信息!E:M,9,FALSE)</f>
        <v>ZTWM-CDGS-XS-2024-0248-五冶钢构-南充市医学院项目</v>
      </c>
      <c r="R1315" s="118" t="str">
        <f>_xlfn._xlws.FILTER(辅助信息!D:D,辅助信息!E:E=B1315)</f>
        <v>五冶钢构南充医学科学产业园建设项目</v>
      </c>
    </row>
    <row r="1316" hidden="1" spans="2:18">
      <c r="B1316" s="40" t="s">
        <v>31</v>
      </c>
      <c r="C1316" s="70">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09" t="str">
        <f>VLOOKUP(B1316,辅助信息!E:J,6,FALSE)</f>
        <v>提前联系到场规格及数量</v>
      </c>
      <c r="M1316" s="91">
        <v>45779</v>
      </c>
      <c r="O1316" s="62">
        <f ca="1" t="shared" si="59"/>
        <v>0</v>
      </c>
      <c r="P1316" s="62">
        <f ca="1" t="shared" si="60"/>
        <v>181</v>
      </c>
      <c r="Q1316" s="29" t="str">
        <f>VLOOKUP(B1316,辅助信息!E:M,9,FALSE)</f>
        <v>ZTWM-CDGS-XS-2024-0179-四川商投-射洪城乡一体化建设项目</v>
      </c>
      <c r="R1316" s="118" t="str">
        <f>_xlfn._xlws.FILTER(辅助信息!D:D,辅助信息!E:E=B1316)</f>
        <v>四川商建
射洪城乡一体化项目</v>
      </c>
    </row>
    <row r="1317" hidden="1" spans="2:18">
      <c r="B1317" s="40" t="s">
        <v>31</v>
      </c>
      <c r="C1317" s="70">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09" t="str">
        <f>VLOOKUP(B1317,辅助信息!E:J,6,FALSE)</f>
        <v>提前联系到场规格及数量</v>
      </c>
      <c r="M1317" s="91">
        <v>45779</v>
      </c>
      <c r="O1317" s="62">
        <f ca="1" t="shared" si="59"/>
        <v>0</v>
      </c>
      <c r="P1317" s="62">
        <f ca="1" t="shared" si="60"/>
        <v>181</v>
      </c>
      <c r="Q1317" s="29" t="str">
        <f>VLOOKUP(B1317,辅助信息!E:M,9,FALSE)</f>
        <v>ZTWM-CDGS-XS-2024-0179-四川商投-射洪城乡一体化建设项目</v>
      </c>
      <c r="R1317" s="118" t="str">
        <f>_xlfn._xlws.FILTER(辅助信息!D:D,辅助信息!E:E=B1317)</f>
        <v>四川商建
射洪城乡一体化项目</v>
      </c>
    </row>
    <row r="1318" hidden="1" spans="2:18">
      <c r="B1318" s="40" t="s">
        <v>31</v>
      </c>
      <c r="C1318" s="70">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09" t="str">
        <f>VLOOKUP(B1318,辅助信息!E:J,6,FALSE)</f>
        <v>提前联系到场规格及数量</v>
      </c>
      <c r="M1318" s="91">
        <v>45779</v>
      </c>
      <c r="O1318" s="62">
        <f ca="1" t="shared" si="59"/>
        <v>0</v>
      </c>
      <c r="P1318" s="62">
        <f ca="1" t="shared" si="60"/>
        <v>181</v>
      </c>
      <c r="Q1318" s="29" t="str">
        <f>VLOOKUP(B1318,辅助信息!E:M,9,FALSE)</f>
        <v>ZTWM-CDGS-XS-2024-0179-四川商投-射洪城乡一体化建设项目</v>
      </c>
      <c r="R1318" s="118" t="str">
        <f>_xlfn._xlws.FILTER(辅助信息!D:D,辅助信息!E:E=B1318)</f>
        <v>四川商建
射洪城乡一体化项目</v>
      </c>
    </row>
    <row r="1319" hidden="1" spans="2:18">
      <c r="B1319" s="40" t="s">
        <v>31</v>
      </c>
      <c r="C1319" s="70">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09" t="str">
        <f>VLOOKUP(B1319,辅助信息!E:J,6,FALSE)</f>
        <v>提前联系到场规格及数量</v>
      </c>
      <c r="M1319" s="91">
        <v>45779</v>
      </c>
      <c r="O1319" s="62">
        <f ca="1" t="shared" si="59"/>
        <v>0</v>
      </c>
      <c r="P1319" s="62">
        <f ca="1" t="shared" si="60"/>
        <v>181</v>
      </c>
      <c r="Q1319" s="29" t="str">
        <f>VLOOKUP(B1319,辅助信息!E:M,9,FALSE)</f>
        <v>ZTWM-CDGS-XS-2024-0179-四川商投-射洪城乡一体化建设项目</v>
      </c>
      <c r="R1319" s="118" t="str">
        <f>_xlfn._xlws.FILTER(辅助信息!D:D,辅助信息!E:E=B1319)</f>
        <v>四川商建
射洪城乡一体化项目</v>
      </c>
    </row>
    <row r="1320" hidden="1" spans="2:18">
      <c r="B1320" s="40" t="s">
        <v>31</v>
      </c>
      <c r="C1320" s="70">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09" t="str">
        <f>VLOOKUP(B1320,辅助信息!E:J,6,FALSE)</f>
        <v>提前联系到场规格及数量</v>
      </c>
      <c r="M1320" s="91">
        <v>45779</v>
      </c>
      <c r="O1320" s="62">
        <f ca="1" t="shared" si="59"/>
        <v>0</v>
      </c>
      <c r="P1320" s="62">
        <f ca="1" t="shared" si="60"/>
        <v>181</v>
      </c>
      <c r="Q1320" s="29" t="str">
        <f>VLOOKUP(B1320,辅助信息!E:M,9,FALSE)</f>
        <v>ZTWM-CDGS-XS-2024-0179-四川商投-射洪城乡一体化建设项目</v>
      </c>
      <c r="R1320" s="118" t="str">
        <f>_xlfn._xlws.FILTER(辅助信息!D:D,辅助信息!E:E=B1320)</f>
        <v>四川商建
射洪城乡一体化项目</v>
      </c>
    </row>
    <row r="1321" hidden="1" spans="2:18">
      <c r="B1321" s="40" t="s">
        <v>31</v>
      </c>
      <c r="C1321" s="70">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09" t="str">
        <f>VLOOKUP(B1321,辅助信息!E:J,6,FALSE)</f>
        <v>提前联系到场规格及数量</v>
      </c>
      <c r="M1321" s="91">
        <v>45779</v>
      </c>
      <c r="O1321" s="62">
        <f ca="1" t="shared" si="59"/>
        <v>0</v>
      </c>
      <c r="P1321" s="62">
        <f ca="1" t="shared" si="60"/>
        <v>181</v>
      </c>
      <c r="Q1321" s="29" t="str">
        <f>VLOOKUP(B1321,辅助信息!E:M,9,FALSE)</f>
        <v>ZTWM-CDGS-XS-2024-0179-四川商投-射洪城乡一体化建设项目</v>
      </c>
      <c r="R1321" s="118" t="str">
        <f>_xlfn._xlws.FILTER(辅助信息!D:D,辅助信息!E:E=B1321)</f>
        <v>四川商建
射洪城乡一体化项目</v>
      </c>
    </row>
    <row r="1322" hidden="1" spans="2:18">
      <c r="B1322" s="40" t="s">
        <v>31</v>
      </c>
      <c r="C1322" s="70">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09" t="str">
        <f>VLOOKUP(B1322,辅助信息!E:J,6,FALSE)</f>
        <v>提前联系到场规格及数量</v>
      </c>
      <c r="M1322" s="91">
        <v>45775</v>
      </c>
      <c r="O1322" s="62">
        <f ca="1" t="shared" si="59"/>
        <v>0</v>
      </c>
      <c r="P1322" s="62">
        <f ca="1" t="shared" si="60"/>
        <v>185</v>
      </c>
      <c r="Q1322" s="29" t="str">
        <f>VLOOKUP(B1322,辅助信息!E:M,9,FALSE)</f>
        <v>ZTWM-CDGS-XS-2024-0179-四川商投-射洪城乡一体化建设项目</v>
      </c>
      <c r="R1322" s="118" t="str">
        <f>_xlfn._xlws.FILTER(辅助信息!D:D,辅助信息!E:E=B1322)</f>
        <v>四川商建
射洪城乡一体化项目</v>
      </c>
    </row>
    <row r="1323" hidden="1" spans="2:18">
      <c r="B1323" s="40" t="s">
        <v>147</v>
      </c>
      <c r="C1323" s="70">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09" t="str">
        <f>VLOOKUP(B1323,辅助信息!E:J,6,FALSE)</f>
        <v>控制炉批号！多了现场不收！,优先安排达钢,提前联系到场规格及数量</v>
      </c>
      <c r="M1323" s="91">
        <v>45777</v>
      </c>
      <c r="O1323" s="62">
        <f ca="1" t="shared" si="59"/>
        <v>0</v>
      </c>
      <c r="P1323" s="62">
        <f ca="1" t="shared" si="60"/>
        <v>183</v>
      </c>
      <c r="Q1323" s="29" t="str">
        <f>VLOOKUP(B1323,辅助信息!E:M,9,FALSE)</f>
        <v>ZTWM-CDGS-XS-2024-0134-商投建工达州中医药科技成果示范园项目</v>
      </c>
      <c r="R1323" s="118" t="str">
        <f>_xlfn._xlws.FILTER(辅助信息!D:D,辅助信息!E:E=B1323)</f>
        <v>商投建工达州中医药科技园</v>
      </c>
    </row>
    <row r="1324" hidden="1" spans="2:18">
      <c r="B1324" s="40" t="s">
        <v>147</v>
      </c>
      <c r="C1324" s="70">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09" t="str">
        <f>VLOOKUP(B1324,辅助信息!E:J,6,FALSE)</f>
        <v>控制炉批号！多了现场不收！,优先安排达钢,提前联系到场规格及数量</v>
      </c>
      <c r="M1324" s="91">
        <v>45777</v>
      </c>
      <c r="O1324" s="62">
        <f ca="1" t="shared" si="59"/>
        <v>0</v>
      </c>
      <c r="P1324" s="62">
        <f ca="1" t="shared" si="60"/>
        <v>183</v>
      </c>
      <c r="Q1324" s="29" t="str">
        <f>VLOOKUP(B1324,辅助信息!E:M,9,FALSE)</f>
        <v>ZTWM-CDGS-XS-2024-0134-商投建工达州中医药科技成果示范园项目</v>
      </c>
      <c r="R1324" s="118" t="str">
        <f>_xlfn._xlws.FILTER(辅助信息!D:D,辅助信息!E:E=B1324)</f>
        <v>商投建工达州中医药科技园</v>
      </c>
    </row>
    <row r="1325" hidden="1" spans="2:18">
      <c r="B1325" s="40" t="s">
        <v>147</v>
      </c>
      <c r="C1325" s="70">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09" t="str">
        <f>VLOOKUP(B1325,辅助信息!E:J,6,FALSE)</f>
        <v>控制炉批号！多了现场不收！,优先安排达钢,提前联系到场规格及数量</v>
      </c>
      <c r="M1325" s="91">
        <v>45777</v>
      </c>
      <c r="O1325" s="62">
        <f ca="1" t="shared" si="59"/>
        <v>0</v>
      </c>
      <c r="P1325" s="62">
        <f ca="1" t="shared" si="60"/>
        <v>183</v>
      </c>
      <c r="Q1325" s="29" t="str">
        <f>VLOOKUP(B1325,辅助信息!E:M,9,FALSE)</f>
        <v>ZTWM-CDGS-XS-2024-0134-商投建工达州中医药科技成果示范园项目</v>
      </c>
      <c r="R1325" s="118" t="str">
        <f>_xlfn._xlws.FILTER(辅助信息!D:D,辅助信息!E:E=B1325)</f>
        <v>商投建工达州中医药科技园</v>
      </c>
    </row>
    <row r="1326" hidden="1" spans="2:18">
      <c r="B1326" s="40" t="s">
        <v>147</v>
      </c>
      <c r="C1326" s="70">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09" t="str">
        <f>VLOOKUP(B1326,辅助信息!E:J,6,FALSE)</f>
        <v>控制炉批号！多了现场不收！,优先安排达钢,提前联系到场规格及数量</v>
      </c>
      <c r="M1326" s="91">
        <v>45777</v>
      </c>
      <c r="O1326" s="62">
        <f ca="1" t="shared" si="59"/>
        <v>0</v>
      </c>
      <c r="P1326" s="62">
        <f ca="1" t="shared" si="60"/>
        <v>183</v>
      </c>
      <c r="Q1326" s="29" t="str">
        <f>VLOOKUP(B1326,辅助信息!E:M,9,FALSE)</f>
        <v>ZTWM-CDGS-XS-2024-0134-商投建工达州中医药科技成果示范园项目</v>
      </c>
      <c r="R1326" s="118" t="str">
        <f>_xlfn._xlws.FILTER(辅助信息!D:D,辅助信息!E:E=B1326)</f>
        <v>商投建工达州中医药科技园</v>
      </c>
    </row>
    <row r="1327" hidden="1" spans="2:18">
      <c r="B1327" s="40" t="s">
        <v>147</v>
      </c>
      <c r="C1327" s="70">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09" t="str">
        <f>VLOOKUP(B1327,辅助信息!E:J,6,FALSE)</f>
        <v>控制炉批号！多了现场不收！,优先安排达钢,提前联系到场规格及数量</v>
      </c>
      <c r="M1327" s="91">
        <v>45777</v>
      </c>
      <c r="O1327" s="62">
        <f ca="1" t="shared" si="59"/>
        <v>0</v>
      </c>
      <c r="P1327" s="62">
        <f ca="1" t="shared" si="60"/>
        <v>183</v>
      </c>
      <c r="Q1327" s="29" t="str">
        <f>VLOOKUP(B1327,辅助信息!E:M,9,FALSE)</f>
        <v>ZTWM-CDGS-XS-2024-0134-商投建工达州中医药科技成果示范园项目</v>
      </c>
      <c r="R1327" s="118" t="str">
        <f>_xlfn._xlws.FILTER(辅助信息!D:D,辅助信息!E:E=B1327)</f>
        <v>商投建工达州中医药科技园</v>
      </c>
    </row>
    <row r="1328" hidden="1" spans="2:18">
      <c r="B1328" s="40" t="s">
        <v>147</v>
      </c>
      <c r="C1328" s="70">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09" t="str">
        <f>VLOOKUP(B1328,辅助信息!E:J,6,FALSE)</f>
        <v>控制炉批号！多了现场不收！,优先安排达钢,提前联系到场规格及数量</v>
      </c>
      <c r="M1328" s="91">
        <v>45777</v>
      </c>
      <c r="O1328" s="62">
        <f ca="1" t="shared" si="59"/>
        <v>0</v>
      </c>
      <c r="P1328" s="62">
        <f ca="1" t="shared" si="60"/>
        <v>183</v>
      </c>
      <c r="Q1328" s="29" t="str">
        <f>VLOOKUP(B1328,辅助信息!E:M,9,FALSE)</f>
        <v>ZTWM-CDGS-XS-2024-0134-商投建工达州中医药科技成果示范园项目</v>
      </c>
      <c r="R1328" s="118" t="str">
        <f>_xlfn._xlws.FILTER(辅助信息!D:D,辅助信息!E:E=B1328)</f>
        <v>商投建工达州中医药科技园</v>
      </c>
    </row>
    <row r="1329" hidden="1" spans="2:18">
      <c r="B1329" s="40" t="s">
        <v>106</v>
      </c>
      <c r="C1329" s="70">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09" t="str">
        <f>VLOOKUP(B1329,辅助信息!E:J,6,FALSE)</f>
        <v>提前联系到场规格</v>
      </c>
      <c r="M1329" s="91">
        <v>45778</v>
      </c>
      <c r="O1329" s="62">
        <f ca="1" t="shared" si="59"/>
        <v>0</v>
      </c>
      <c r="P1329" s="62">
        <f ca="1" t="shared" si="60"/>
        <v>182</v>
      </c>
      <c r="Q1329" s="29" t="str">
        <f>VLOOKUP(B1329,辅助信息!E:M,9,FALSE)</f>
        <v>ZTWM-CDGS-XS-2024-0169-中冶西部钢构-宜宾市南溪区幸福路东路,高县月江镇建设项目</v>
      </c>
      <c r="R1329" s="118" t="str">
        <f>_xlfn._xlws.FILTER(辅助信息!D:D,辅助信息!E:E=B1329)</f>
        <v>五冶钢构-宜宾市南溪区高县月江镇建设项目</v>
      </c>
    </row>
    <row r="1330" hidden="1" spans="2:18">
      <c r="B1330" s="40" t="s">
        <v>106</v>
      </c>
      <c r="C1330" s="70">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09" t="str">
        <f>VLOOKUP(B1330,辅助信息!E:J,6,FALSE)</f>
        <v>提前联系到场规格</v>
      </c>
      <c r="M1330" s="91">
        <v>45778</v>
      </c>
      <c r="O1330" s="62">
        <f ca="1" t="shared" si="59"/>
        <v>0</v>
      </c>
      <c r="P1330" s="62">
        <f ca="1" t="shared" si="60"/>
        <v>182</v>
      </c>
      <c r="Q1330" s="29" t="str">
        <f>VLOOKUP(B1330,辅助信息!E:M,9,FALSE)</f>
        <v>ZTWM-CDGS-XS-2024-0169-中冶西部钢构-宜宾市南溪区幸福路东路,高县月江镇建设项目</v>
      </c>
      <c r="R1330" s="118" t="str">
        <f>_xlfn._xlws.FILTER(辅助信息!D:D,辅助信息!E:E=B1330)</f>
        <v>五冶钢构-宜宾市南溪区高县月江镇建设项目</v>
      </c>
    </row>
    <row r="1331" hidden="1" spans="2:18">
      <c r="B1331" s="40" t="s">
        <v>106</v>
      </c>
      <c r="C1331" s="70">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09" t="str">
        <f>VLOOKUP(B1331,辅助信息!E:J,6,FALSE)</f>
        <v>提前联系到场规格</v>
      </c>
      <c r="M1331" s="91">
        <v>45778</v>
      </c>
      <c r="O1331" s="62">
        <f ca="1" t="shared" si="59"/>
        <v>0</v>
      </c>
      <c r="P1331" s="62">
        <f ca="1" t="shared" si="60"/>
        <v>182</v>
      </c>
      <c r="Q1331" s="29" t="str">
        <f>VLOOKUP(B1331,辅助信息!E:M,9,FALSE)</f>
        <v>ZTWM-CDGS-XS-2024-0169-中冶西部钢构-宜宾市南溪区幸福路东路,高县月江镇建设项目</v>
      </c>
      <c r="R1331" s="118" t="str">
        <f>_xlfn._xlws.FILTER(辅助信息!D:D,辅助信息!E:E=B1331)</f>
        <v>五冶钢构-宜宾市南溪区高县月江镇建设项目</v>
      </c>
    </row>
    <row r="1332" hidden="1" spans="2:18">
      <c r="B1332" s="40" t="s">
        <v>106</v>
      </c>
      <c r="C1332" s="70">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09" t="str">
        <f>VLOOKUP(B1332,辅助信息!E:J,6,FALSE)</f>
        <v>提前联系到场规格</v>
      </c>
      <c r="M1332" s="91">
        <v>45778</v>
      </c>
      <c r="O1332" s="62">
        <f ca="1" t="shared" si="59"/>
        <v>0</v>
      </c>
      <c r="P1332" s="62">
        <f ca="1" t="shared" si="60"/>
        <v>182</v>
      </c>
      <c r="Q1332" s="29" t="str">
        <f>VLOOKUP(B1332,辅助信息!E:M,9,FALSE)</f>
        <v>ZTWM-CDGS-XS-2024-0169-中冶西部钢构-宜宾市南溪区幸福路东路,高县月江镇建设项目</v>
      </c>
      <c r="R1332" s="118" t="str">
        <f>_xlfn._xlws.FILTER(辅助信息!D:D,辅助信息!E:E=B1332)</f>
        <v>五冶钢构-宜宾市南溪区高县月江镇建设项目</v>
      </c>
    </row>
    <row r="1333" hidden="1" spans="2:18">
      <c r="B1333" s="40" t="s">
        <v>127</v>
      </c>
      <c r="C1333" s="70">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09" t="str">
        <f>VLOOKUP(B1333,辅助信息!E:J,6,FALSE)</f>
        <v>送货单：送货单位：南充思临新材料科技有限公司,收货单位：五冶集团川北(南充)建设有限公司,项目名称：南充医学科学产业园,送货车型13米,装货前联系收货人核实到场规格</v>
      </c>
      <c r="M1333" s="91">
        <v>45780</v>
      </c>
      <c r="O1333" s="62">
        <f ca="1" t="shared" si="59"/>
        <v>0</v>
      </c>
      <c r="P1333" s="62">
        <f ca="1" t="shared" si="60"/>
        <v>180</v>
      </c>
      <c r="Q1333" s="29" t="str">
        <f>VLOOKUP(B1333,辅助信息!E:M,9,FALSE)</f>
        <v>ZTWM-CDGS-XS-2024-0248-五冶钢构-南充市医学院项目</v>
      </c>
      <c r="R1333" s="118" t="str">
        <f>_xlfn._xlws.FILTER(辅助信息!D:D,辅助信息!E:E=B1333)</f>
        <v>五冶钢构南充医学科学产业园建设项目</v>
      </c>
    </row>
    <row r="1334" hidden="1" spans="2:18">
      <c r="B1334" s="40" t="s">
        <v>127</v>
      </c>
      <c r="C1334" s="70">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09" t="str">
        <f>VLOOKUP(B1334,辅助信息!E:J,6,FALSE)</f>
        <v>送货单：送货单位：南充思临新材料科技有限公司,收货单位：五冶集团川北(南充)建设有限公司,项目名称：南充医学科学产业园,送货车型13米,装货前联系收货人核实到场规格</v>
      </c>
      <c r="M1334" s="91">
        <v>45780</v>
      </c>
      <c r="O1334" s="62">
        <f ca="1" t="shared" si="59"/>
        <v>0</v>
      </c>
      <c r="P1334" s="62">
        <f ca="1" t="shared" si="60"/>
        <v>180</v>
      </c>
      <c r="Q1334" s="29" t="str">
        <f>VLOOKUP(B1334,辅助信息!E:M,9,FALSE)</f>
        <v>ZTWM-CDGS-XS-2024-0248-五冶钢构-南充市医学院项目</v>
      </c>
      <c r="R1334" s="118" t="str">
        <f>_xlfn._xlws.FILTER(辅助信息!D:D,辅助信息!E:E=B1334)</f>
        <v>五冶钢构南充医学科学产业园建设项目</v>
      </c>
    </row>
    <row r="1335" hidden="1" spans="2:18">
      <c r="B1335" s="40" t="s">
        <v>127</v>
      </c>
      <c r="C1335" s="70">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09" t="str">
        <f>VLOOKUP(B1335,辅助信息!E:J,6,FALSE)</f>
        <v>送货单：送货单位：南充思临新材料科技有限公司,收货单位：五冶集团川北(南充)建设有限公司,项目名称：南充医学科学产业园,送货车型13米,装货前联系收货人核实到场规格</v>
      </c>
      <c r="M1335" s="91">
        <v>45780</v>
      </c>
      <c r="O1335" s="62">
        <f ca="1" t="shared" si="59"/>
        <v>0</v>
      </c>
      <c r="P1335" s="62">
        <f ca="1" t="shared" si="60"/>
        <v>180</v>
      </c>
      <c r="Q1335" s="29" t="str">
        <f>VLOOKUP(B1335,辅助信息!E:M,9,FALSE)</f>
        <v>ZTWM-CDGS-XS-2024-0248-五冶钢构-南充市医学院项目</v>
      </c>
      <c r="R1335" s="118" t="str">
        <f>_xlfn._xlws.FILTER(辅助信息!D:D,辅助信息!E:E=B1335)</f>
        <v>五冶钢构南充医学科学产业园建设项目</v>
      </c>
    </row>
    <row r="1336" hidden="1" spans="2:18">
      <c r="B1336" s="40" t="s">
        <v>81</v>
      </c>
      <c r="C1336" s="70">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09" t="str">
        <f>VLOOKUP(B1336,辅助信息!E:J,6,FALSE)</f>
        <v>现场禁止使用氢能源挂车！优先威钢发货,我方卸车,新老国标钢厂不加价可直发，因陕钢多次出现磅差，项目拒绝使用</v>
      </c>
      <c r="M1336" s="91">
        <v>45782</v>
      </c>
      <c r="O1336" s="62">
        <f ca="1" t="shared" ref="O1336:O1348" si="61">IF(OR(M1336="",N1336&lt;&gt;""),"",MAX(M1336-TODAY(),0))</f>
        <v>0</v>
      </c>
      <c r="P1336" s="62">
        <f ca="1" t="shared" ref="P1336:P1348" si="62">IF(M1336="","",IF(N1336&lt;&gt;"",MAX(N1336-M1336,0),IF(TODAY()&gt;M1336,TODAY()-M1336,0)))</f>
        <v>178</v>
      </c>
      <c r="Q1336" s="29" t="str">
        <f>VLOOKUP(B1336,辅助信息!E:M,9,FALSE)</f>
        <v>ZTWM-CDGS-XS-2024-0030-华西集采-简州大道</v>
      </c>
      <c r="R1336" s="118" t="str">
        <f>_xlfn._xlws.FILTER(辅助信息!D:D,辅助信息!E:E=B1336)</f>
        <v>华西简阳西城嘉苑</v>
      </c>
    </row>
    <row r="1337" hidden="1" spans="2:18">
      <c r="B1337" s="40" t="s">
        <v>81</v>
      </c>
      <c r="C1337" s="70">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09" t="str">
        <f>VLOOKUP(B1337,辅助信息!E:J,6,FALSE)</f>
        <v>现场禁止使用氢能源挂车！优先威钢发货,我方卸车,新老国标钢厂不加价可直发，因陕钢多次出现磅差，项目拒绝使用</v>
      </c>
      <c r="M1337" s="91">
        <v>45782</v>
      </c>
      <c r="O1337" s="62">
        <f ca="1" t="shared" si="61"/>
        <v>0</v>
      </c>
      <c r="P1337" s="62">
        <f ca="1" t="shared" si="62"/>
        <v>178</v>
      </c>
      <c r="Q1337" s="29" t="str">
        <f>VLOOKUP(B1337,辅助信息!E:M,9,FALSE)</f>
        <v>ZTWM-CDGS-XS-2024-0030-华西集采-简州大道</v>
      </c>
      <c r="R1337" s="118" t="str">
        <f>_xlfn._xlws.FILTER(辅助信息!D:D,辅助信息!E:E=B1337)</f>
        <v>华西简阳西城嘉苑</v>
      </c>
    </row>
    <row r="1338" hidden="1" spans="2:18">
      <c r="B1338" s="40" t="s">
        <v>81</v>
      </c>
      <c r="C1338" s="70">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09" t="str">
        <f>VLOOKUP(B1338,辅助信息!E:J,6,FALSE)</f>
        <v>现场禁止使用氢能源挂车！优先威钢发货,我方卸车,新老国标钢厂不加价可直发，因陕钢多次出现磅差，项目拒绝使用</v>
      </c>
      <c r="M1338" s="91">
        <v>45782</v>
      </c>
      <c r="O1338" s="62">
        <f ca="1" t="shared" si="61"/>
        <v>0</v>
      </c>
      <c r="P1338" s="62">
        <f ca="1" t="shared" si="62"/>
        <v>178</v>
      </c>
      <c r="Q1338" s="29" t="str">
        <f>VLOOKUP(B1338,辅助信息!E:M,9,FALSE)</f>
        <v>ZTWM-CDGS-XS-2024-0030-华西集采-简州大道</v>
      </c>
      <c r="R1338" s="118" t="str">
        <f>_xlfn._xlws.FILTER(辅助信息!D:D,辅助信息!E:E=B1338)</f>
        <v>华西简阳西城嘉苑</v>
      </c>
    </row>
    <row r="1339" hidden="1" spans="2:18">
      <c r="B1339" s="40" t="s">
        <v>81</v>
      </c>
      <c r="C1339" s="70">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09" t="str">
        <f>VLOOKUP(B1339,辅助信息!E:J,6,FALSE)</f>
        <v>现场禁止使用氢能源挂车！优先威钢发货,我方卸车,新老国标钢厂不加价可直发，因陕钢多次出现磅差，项目拒绝使用</v>
      </c>
      <c r="M1339" s="91">
        <v>45782</v>
      </c>
      <c r="O1339" s="62">
        <f ca="1" t="shared" si="61"/>
        <v>0</v>
      </c>
      <c r="P1339" s="62">
        <f ca="1" t="shared" si="62"/>
        <v>178</v>
      </c>
      <c r="Q1339" s="29" t="str">
        <f>VLOOKUP(B1339,辅助信息!E:M,9,FALSE)</f>
        <v>ZTWM-CDGS-XS-2024-0030-华西集采-简州大道</v>
      </c>
      <c r="R1339" s="118" t="str">
        <f>_xlfn._xlws.FILTER(辅助信息!D:D,辅助信息!E:E=B1339)</f>
        <v>华西简阳西城嘉苑</v>
      </c>
    </row>
    <row r="1340" hidden="1" spans="2:18">
      <c r="B1340" s="40" t="s">
        <v>81</v>
      </c>
      <c r="C1340" s="70">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09" t="str">
        <f>VLOOKUP(B1340,辅助信息!E:J,6,FALSE)</f>
        <v>现场禁止使用氢能源挂车！优先威钢发货,我方卸车,新老国标钢厂不加价可直发，因陕钢多次出现磅差，项目拒绝使用</v>
      </c>
      <c r="M1340" s="91">
        <v>45782</v>
      </c>
      <c r="O1340" s="62">
        <f ca="1" t="shared" si="61"/>
        <v>0</v>
      </c>
      <c r="P1340" s="62">
        <f ca="1" t="shared" si="62"/>
        <v>178</v>
      </c>
      <c r="Q1340" s="29" t="str">
        <f>VLOOKUP(B1340,辅助信息!E:M,9,FALSE)</f>
        <v>ZTWM-CDGS-XS-2024-0030-华西集采-简州大道</v>
      </c>
      <c r="R1340" s="118" t="str">
        <f>_xlfn._xlws.FILTER(辅助信息!D:D,辅助信息!E:E=B1340)</f>
        <v>华西简阳西城嘉苑</v>
      </c>
    </row>
    <row r="1341" hidden="1" spans="2:18">
      <c r="B1341" s="40" t="s">
        <v>81</v>
      </c>
      <c r="C1341" s="70">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09" t="str">
        <f>VLOOKUP(B1341,辅助信息!E:J,6,FALSE)</f>
        <v>现场禁止使用氢能源挂车！优先威钢发货,我方卸车,新老国标钢厂不加价可直发，因陕钢多次出现磅差，项目拒绝使用</v>
      </c>
      <c r="M1341" s="91">
        <v>45782</v>
      </c>
      <c r="O1341" s="62">
        <f ca="1" t="shared" si="61"/>
        <v>0</v>
      </c>
      <c r="P1341" s="62">
        <f ca="1" t="shared" si="62"/>
        <v>178</v>
      </c>
      <c r="Q1341" s="29" t="str">
        <f>VLOOKUP(B1341,辅助信息!E:M,9,FALSE)</f>
        <v>ZTWM-CDGS-XS-2024-0030-华西集采-简州大道</v>
      </c>
      <c r="R1341" s="118" t="str">
        <f>_xlfn._xlws.FILTER(辅助信息!D:D,辅助信息!E:E=B1341)</f>
        <v>华西简阳西城嘉苑</v>
      </c>
    </row>
    <row r="1342" hidden="1" spans="2:18">
      <c r="B1342" s="40" t="s">
        <v>81</v>
      </c>
      <c r="C1342" s="70">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09" t="str">
        <f>VLOOKUP(B1342,辅助信息!E:J,6,FALSE)</f>
        <v>现场禁止使用氢能源挂车！优先威钢发货,我方卸车,新老国标钢厂不加价可直发，因陕钢多次出现磅差，项目拒绝使用</v>
      </c>
      <c r="M1342" s="91">
        <v>45782</v>
      </c>
      <c r="O1342" s="62">
        <f ca="1" t="shared" si="61"/>
        <v>0</v>
      </c>
      <c r="P1342" s="62">
        <f ca="1" t="shared" si="62"/>
        <v>178</v>
      </c>
      <c r="Q1342" s="29" t="str">
        <f>VLOOKUP(B1342,辅助信息!E:M,9,FALSE)</f>
        <v>ZTWM-CDGS-XS-2024-0030-华西集采-简州大道</v>
      </c>
      <c r="R1342" s="118" t="str">
        <f>_xlfn._xlws.FILTER(辅助信息!D:D,辅助信息!E:E=B1342)</f>
        <v>华西简阳西城嘉苑</v>
      </c>
    </row>
    <row r="1343" hidden="1" spans="2:18">
      <c r="B1343" s="40" t="s">
        <v>81</v>
      </c>
      <c r="C1343" s="70">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09" t="str">
        <f>VLOOKUP(B1343,辅助信息!E:J,6,FALSE)</f>
        <v>现场禁止使用氢能源挂车！优先威钢发货,我方卸车,新老国标钢厂不加价可直发，因陕钢多次出现磅差，项目拒绝使用</v>
      </c>
      <c r="M1343" s="91">
        <v>45782</v>
      </c>
      <c r="O1343" s="62">
        <f ca="1" t="shared" si="61"/>
        <v>0</v>
      </c>
      <c r="P1343" s="62">
        <f ca="1" t="shared" si="62"/>
        <v>178</v>
      </c>
      <c r="Q1343" s="29" t="str">
        <f>VLOOKUP(B1343,辅助信息!E:M,9,FALSE)</f>
        <v>ZTWM-CDGS-XS-2024-0030-华西集采-简州大道</v>
      </c>
      <c r="R1343" s="118" t="str">
        <f>_xlfn._xlws.FILTER(辅助信息!D:D,辅助信息!E:E=B1343)</f>
        <v>华西简阳西城嘉苑</v>
      </c>
    </row>
    <row r="1344" hidden="1" spans="2:18">
      <c r="B1344" s="40" t="s">
        <v>81</v>
      </c>
      <c r="C1344" s="70">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09" t="str">
        <f>VLOOKUP(B1344,辅助信息!E:J,6,FALSE)</f>
        <v>现场禁止使用氢能源挂车！优先威钢发货,我方卸车,新老国标钢厂不加价可直发，因陕钢多次出现磅差，项目拒绝使用</v>
      </c>
      <c r="M1344" s="91">
        <v>45782</v>
      </c>
      <c r="O1344" s="62">
        <f ca="1" t="shared" si="61"/>
        <v>0</v>
      </c>
      <c r="P1344" s="62">
        <f ca="1" t="shared" si="62"/>
        <v>178</v>
      </c>
      <c r="Q1344" s="29" t="str">
        <f>VLOOKUP(B1344,辅助信息!E:M,9,FALSE)</f>
        <v>ZTWM-CDGS-XS-2024-0030-华西集采-简州大道</v>
      </c>
      <c r="R1344" s="118" t="str">
        <f>_xlfn._xlws.FILTER(辅助信息!D:D,辅助信息!E:E=B1344)</f>
        <v>华西简阳西城嘉苑</v>
      </c>
    </row>
    <row r="1345" hidden="1" spans="2:18">
      <c r="B1345" s="40" t="s">
        <v>81</v>
      </c>
      <c r="C1345" s="70">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09" t="str">
        <f>VLOOKUP(B1345,辅助信息!E:J,6,FALSE)</f>
        <v>现场禁止使用氢能源挂车！优先威钢发货,我方卸车,新老国标钢厂不加价可直发，因陕钢多次出现磅差，项目拒绝使用</v>
      </c>
      <c r="M1345" s="91">
        <v>45782</v>
      </c>
      <c r="O1345" s="62">
        <f ca="1" t="shared" si="61"/>
        <v>0</v>
      </c>
      <c r="P1345" s="62">
        <f ca="1" t="shared" si="62"/>
        <v>178</v>
      </c>
      <c r="Q1345" s="29" t="str">
        <f>VLOOKUP(B1345,辅助信息!E:M,9,FALSE)</f>
        <v>ZTWM-CDGS-XS-2024-0030-华西集采-简州大道</v>
      </c>
      <c r="R1345" s="118" t="str">
        <f>_xlfn._xlws.FILTER(辅助信息!D:D,辅助信息!E:E=B1345)</f>
        <v>华西简阳西城嘉苑</v>
      </c>
    </row>
    <row r="1346" hidden="1" spans="2:18">
      <c r="B1346" s="40" t="s">
        <v>81</v>
      </c>
      <c r="C1346" s="70">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09" t="str">
        <f>VLOOKUP(B1346,辅助信息!E:J,6,FALSE)</f>
        <v>现场禁止使用氢能源挂车！优先威钢发货,我方卸车,新老国标钢厂不加价可直发，因陕钢多次出现磅差，项目拒绝使用</v>
      </c>
      <c r="M1346" s="91">
        <v>45782</v>
      </c>
      <c r="O1346" s="62">
        <f ca="1" t="shared" si="61"/>
        <v>0</v>
      </c>
      <c r="P1346" s="62">
        <f ca="1" t="shared" si="62"/>
        <v>178</v>
      </c>
      <c r="Q1346" s="29" t="str">
        <f>VLOOKUP(B1346,辅助信息!E:M,9,FALSE)</f>
        <v>ZTWM-CDGS-XS-2024-0030-华西集采-简州大道</v>
      </c>
      <c r="R1346" s="118" t="str">
        <f>_xlfn._xlws.FILTER(辅助信息!D:D,辅助信息!E:E=B1346)</f>
        <v>华西简阳西城嘉苑</v>
      </c>
    </row>
    <row r="1347" hidden="1" spans="2:18">
      <c r="B1347" s="40" t="s">
        <v>44</v>
      </c>
      <c r="C1347" s="70">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09" t="str">
        <f>VLOOKUP(B1347,辅助信息!E:J,6,FALSE)</f>
        <v>对方卸车</v>
      </c>
      <c r="M1347" s="91">
        <v>45780</v>
      </c>
      <c r="O1347" s="62">
        <f ca="1" t="shared" si="61"/>
        <v>0</v>
      </c>
      <c r="P1347" s="62">
        <f ca="1" t="shared" si="62"/>
        <v>180</v>
      </c>
      <c r="Q1347" s="29" t="str">
        <f>VLOOKUP(B1347,辅助信息!E:M,9,FALSE)</f>
        <v>ZTWM-CDGS-XS-2024-0189-华西集采-酒城南项目</v>
      </c>
      <c r="R1347" s="118" t="str">
        <f>_xlfn._xlws.FILTER(辅助信息!D:D,辅助信息!E:E=B1347)</f>
        <v>华西酒城南</v>
      </c>
    </row>
    <row r="1348" hidden="1" spans="2:18">
      <c r="B1348" s="40" t="s">
        <v>44</v>
      </c>
      <c r="C1348" s="70">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09" t="str">
        <f>VLOOKUP(B1348,辅助信息!E:J,6,FALSE)</f>
        <v>对方卸车</v>
      </c>
      <c r="M1348" s="91">
        <v>45780</v>
      </c>
      <c r="O1348" s="62">
        <f ca="1" t="shared" si="61"/>
        <v>0</v>
      </c>
      <c r="P1348" s="62">
        <f ca="1" t="shared" si="62"/>
        <v>180</v>
      </c>
      <c r="Q1348" s="29" t="str">
        <f>VLOOKUP(B1348,辅助信息!E:M,9,FALSE)</f>
        <v>ZTWM-CDGS-XS-2024-0189-华西集采-酒城南项目</v>
      </c>
      <c r="R1348" s="118" t="str">
        <f>_xlfn._xlws.FILTER(辅助信息!D:D,辅助信息!E:E=B1348)</f>
        <v>华西酒城南</v>
      </c>
    </row>
    <row r="1349" hidden="1" spans="2:18">
      <c r="B1349" s="40" t="s">
        <v>127</v>
      </c>
      <c r="C1349" s="70">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09" t="str">
        <f>VLOOKUP(B1349,辅助信息!E:J,6,FALSE)</f>
        <v>送货单：送货单位：南充思临新材料科技有限公司,收货单位：五冶集团川北(南充)建设有限公司,项目名称：南充医学科学产业园,送货车型13米,装货前联系收货人核实到场规格</v>
      </c>
      <c r="R1349" s="118"/>
    </row>
    <row r="1350" hidden="1" spans="2:18">
      <c r="B1350" s="40" t="s">
        <v>127</v>
      </c>
      <c r="C1350" s="70">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09" t="str">
        <f>VLOOKUP(B1350,辅助信息!E:J,6,FALSE)</f>
        <v>送货单：送货单位：南充思临新材料科技有限公司,收货单位：五冶集团川北(南充)建设有限公司,项目名称：南充医学科学产业园,送货车型13米,装货前联系收货人核实到场规格</v>
      </c>
      <c r="R1350" s="118"/>
    </row>
    <row r="1351" hidden="1" spans="2:18">
      <c r="B1351" s="40" t="s">
        <v>127</v>
      </c>
      <c r="C1351" s="70">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09" t="str">
        <f>VLOOKUP(B1351,辅助信息!E:J,6,FALSE)</f>
        <v>送货单：送货单位：南充思临新材料科技有限公司,收货单位：五冶集团川北(南充)建设有限公司,项目名称：南充医学科学产业园,送货车型13米,装货前联系收货人核实到场规格</v>
      </c>
      <c r="R1351" s="118"/>
    </row>
    <row r="1352" hidden="1" spans="2:18">
      <c r="B1352" s="40" t="s">
        <v>72</v>
      </c>
      <c r="C1352" s="70">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09" t="str">
        <f>VLOOKUP(B1352,辅助信息!E:J,6,FALSE)</f>
        <v>送货单：送货单位：南充思临新材料科技有限公司,收货单位：五冶集团川北(南充)建设有限公司,项目名称：南充医学科学产业园,送货车型13米,装货前联系收货人核实到场规格</v>
      </c>
      <c r="R1352" s="118"/>
    </row>
    <row r="1353" hidden="1" spans="2:18">
      <c r="B1353" s="40" t="s">
        <v>72</v>
      </c>
      <c r="C1353" s="70">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09" t="str">
        <f>VLOOKUP(B1353,辅助信息!E:J,6,FALSE)</f>
        <v>送货单：送货单位：南充思临新材料科技有限公司,收货单位：五冶集团川北(南充)建设有限公司,项目名称：南充医学科学产业园,送货车型13米,装货前联系收货人核实到场规格</v>
      </c>
      <c r="R1353" s="118"/>
    </row>
    <row r="1354" hidden="1" spans="2:18">
      <c r="B1354" s="40" t="s">
        <v>72</v>
      </c>
      <c r="C1354" s="70">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09" t="str">
        <f>VLOOKUP(B1354,辅助信息!E:J,6,FALSE)</f>
        <v>送货单：送货单位：南充思临新材料科技有限公司,收货单位：五冶集团川北(南充)建设有限公司,项目名称：南充医学科学产业园,送货车型13米,装货前联系收货人核实到场规格</v>
      </c>
      <c r="R1354" s="118"/>
    </row>
    <row r="1355" hidden="1" spans="2:18">
      <c r="B1355" s="40" t="s">
        <v>31</v>
      </c>
      <c r="C1355" s="70">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09" t="str">
        <f>VLOOKUP(B1355,辅助信息!E:J,6,FALSE)</f>
        <v>提前联系到场规格及数量</v>
      </c>
      <c r="M1355" s="91">
        <v>45779</v>
      </c>
      <c r="O1355" s="62">
        <f ca="1" t="shared" ref="O1355:O1366" si="63">IF(OR(M1355="",N1355&lt;&gt;""),"",MAX(M1355-TODAY(),0))</f>
        <v>0</v>
      </c>
      <c r="P1355" s="62">
        <f ca="1" t="shared" ref="P1355:P1366" si="64">IF(M1355="","",IF(N1355&lt;&gt;"",MAX(N1355-M1355,0),IF(TODAY()&gt;M1355,TODAY()-M1355,0)))</f>
        <v>181</v>
      </c>
      <c r="Q1355" s="29" t="str">
        <f>VLOOKUP(B1355,辅助信息!E:M,9,FALSE)</f>
        <v>ZTWM-CDGS-XS-2024-0179-四川商投-射洪城乡一体化建设项目</v>
      </c>
      <c r="R1355" s="118" t="str">
        <f>_xlfn._xlws.FILTER(辅助信息!D:D,辅助信息!E:E=B1355)</f>
        <v>四川商建
射洪城乡一体化项目</v>
      </c>
    </row>
    <row r="1356" hidden="1" spans="2:18">
      <c r="B1356" s="40" t="s">
        <v>31</v>
      </c>
      <c r="C1356" s="70">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09" t="str">
        <f>VLOOKUP(B1356,辅助信息!E:J,6,FALSE)</f>
        <v>提前联系到场规格及数量</v>
      </c>
      <c r="M1356" s="91">
        <v>45779</v>
      </c>
      <c r="O1356" s="62">
        <f ca="1" t="shared" si="63"/>
        <v>0</v>
      </c>
      <c r="P1356" s="62">
        <f ca="1" t="shared" si="64"/>
        <v>181</v>
      </c>
      <c r="Q1356" s="29" t="str">
        <f>VLOOKUP(B1356,辅助信息!E:M,9,FALSE)</f>
        <v>ZTWM-CDGS-XS-2024-0179-四川商投-射洪城乡一体化建设项目</v>
      </c>
      <c r="R1356" s="118" t="str">
        <f>_xlfn._xlws.FILTER(辅助信息!D:D,辅助信息!E:E=B1356)</f>
        <v>四川商建
射洪城乡一体化项目</v>
      </c>
    </row>
    <row r="1357" hidden="1" spans="2:18">
      <c r="B1357" s="40" t="s">
        <v>147</v>
      </c>
      <c r="C1357" s="70">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09" t="str">
        <f>VLOOKUP(B1357,辅助信息!E:J,6,FALSE)</f>
        <v>控制炉批号！多了现场不收！,优先安排达钢,提前联系到场规格及数量</v>
      </c>
      <c r="M1357" s="91">
        <v>45777</v>
      </c>
      <c r="O1357" s="62">
        <f ca="1" t="shared" si="63"/>
        <v>0</v>
      </c>
      <c r="P1357" s="62">
        <f ca="1" t="shared" si="64"/>
        <v>183</v>
      </c>
      <c r="Q1357" s="29" t="str">
        <f>VLOOKUP(B1357,辅助信息!E:M,9,FALSE)</f>
        <v>ZTWM-CDGS-XS-2024-0134-商投建工达州中医药科技成果示范园项目</v>
      </c>
      <c r="R1357" s="118" t="str">
        <f>_xlfn._xlws.FILTER(辅助信息!D:D,辅助信息!E:E=B1357)</f>
        <v>商投建工达州中医药科技园</v>
      </c>
    </row>
    <row r="1358" hidden="1" spans="2:18">
      <c r="B1358" s="40" t="s">
        <v>147</v>
      </c>
      <c r="C1358" s="70">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09" t="str">
        <f>VLOOKUP(B1358,辅助信息!E:J,6,FALSE)</f>
        <v>控制炉批号！多了现场不收！,优先安排达钢,提前联系到场规格及数量</v>
      </c>
      <c r="M1358" s="91">
        <v>45777</v>
      </c>
      <c r="O1358" s="62">
        <f ca="1" t="shared" si="63"/>
        <v>0</v>
      </c>
      <c r="P1358" s="62">
        <f ca="1" t="shared" si="64"/>
        <v>183</v>
      </c>
      <c r="Q1358" s="29" t="str">
        <f>VLOOKUP(B1358,辅助信息!E:M,9,FALSE)</f>
        <v>ZTWM-CDGS-XS-2024-0134-商投建工达州中医药科技成果示范园项目</v>
      </c>
      <c r="R1358" s="118" t="str">
        <f>_xlfn._xlws.FILTER(辅助信息!D:D,辅助信息!E:E=B1358)</f>
        <v>商投建工达州中医药科技园</v>
      </c>
    </row>
    <row r="1359" hidden="1" spans="2:18">
      <c r="B1359" s="40" t="s">
        <v>147</v>
      </c>
      <c r="C1359" s="70">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09" t="str">
        <f>VLOOKUP(B1359,辅助信息!E:J,6,FALSE)</f>
        <v>控制炉批号！多了现场不收！,优先安排达钢,提前联系到场规格及数量</v>
      </c>
      <c r="M1359" s="91">
        <v>45777</v>
      </c>
      <c r="O1359" s="62">
        <f ca="1" t="shared" si="63"/>
        <v>0</v>
      </c>
      <c r="P1359" s="62">
        <f ca="1" t="shared" si="64"/>
        <v>183</v>
      </c>
      <c r="Q1359" s="29" t="str">
        <f>VLOOKUP(B1359,辅助信息!E:M,9,FALSE)</f>
        <v>ZTWM-CDGS-XS-2024-0134-商投建工达州中医药科技成果示范园项目</v>
      </c>
      <c r="R1359" s="118" t="str">
        <f>_xlfn._xlws.FILTER(辅助信息!D:D,辅助信息!E:E=B1359)</f>
        <v>商投建工达州中医药科技园</v>
      </c>
    </row>
    <row r="1360" hidden="1" spans="2:18">
      <c r="B1360" s="40" t="s">
        <v>147</v>
      </c>
      <c r="C1360" s="70">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09" t="str">
        <f>VLOOKUP(B1360,辅助信息!E:J,6,FALSE)</f>
        <v>控制炉批号！多了现场不收！,优先安排达钢,提前联系到场规格及数量</v>
      </c>
      <c r="M1360" s="91">
        <v>45777</v>
      </c>
      <c r="O1360" s="62">
        <f ca="1" t="shared" si="63"/>
        <v>0</v>
      </c>
      <c r="P1360" s="62">
        <f ca="1" t="shared" si="64"/>
        <v>183</v>
      </c>
      <c r="Q1360" s="29" t="str">
        <f>VLOOKUP(B1360,辅助信息!E:M,9,FALSE)</f>
        <v>ZTWM-CDGS-XS-2024-0134-商投建工达州中医药科技成果示范园项目</v>
      </c>
      <c r="R1360" s="118" t="str">
        <f>_xlfn._xlws.FILTER(辅助信息!D:D,辅助信息!E:E=B1360)</f>
        <v>商投建工达州中医药科技园</v>
      </c>
    </row>
    <row r="1361" hidden="1" spans="2:18">
      <c r="B1361" s="40" t="s">
        <v>127</v>
      </c>
      <c r="C1361" s="70">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09" t="str">
        <f>VLOOKUP(B1361,辅助信息!E:J,6,FALSE)</f>
        <v>送货单：送货单位：南充思临新材料科技有限公司,收货单位：五冶集团川北(南充)建设有限公司,项目名称：南充医学科学产业园,送货车型13米,装货前联系收货人核实到场规格</v>
      </c>
      <c r="M1361" s="91">
        <v>45780</v>
      </c>
      <c r="O1361" s="62">
        <f ca="1" t="shared" si="63"/>
        <v>0</v>
      </c>
      <c r="P1361" s="62">
        <f ca="1" t="shared" si="64"/>
        <v>180</v>
      </c>
      <c r="Q1361" s="29" t="str">
        <f>VLOOKUP(B1361,辅助信息!E:M,9,FALSE)</f>
        <v>ZTWM-CDGS-XS-2024-0248-五冶钢构-南充市医学院项目</v>
      </c>
      <c r="R1361" s="118" t="str">
        <f>_xlfn._xlws.FILTER(辅助信息!D:D,辅助信息!E:E=B1361)</f>
        <v>五冶钢构南充医学科学产业园建设项目</v>
      </c>
    </row>
    <row r="1362" hidden="1" spans="2:18">
      <c r="B1362" s="40" t="s">
        <v>127</v>
      </c>
      <c r="C1362" s="70">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09" t="str">
        <f>VLOOKUP(B1362,辅助信息!E:J,6,FALSE)</f>
        <v>送货单：送货单位：南充思临新材料科技有限公司,收货单位：五冶集团川北(南充)建设有限公司,项目名称：南充医学科学产业园,送货车型13米,装货前联系收货人核实到场规格</v>
      </c>
      <c r="M1362" s="91">
        <v>45780</v>
      </c>
      <c r="O1362" s="62">
        <f ca="1" t="shared" si="63"/>
        <v>0</v>
      </c>
      <c r="P1362" s="62">
        <f ca="1" t="shared" si="64"/>
        <v>180</v>
      </c>
      <c r="Q1362" s="29" t="str">
        <f>VLOOKUP(B1362,辅助信息!E:M,9,FALSE)</f>
        <v>ZTWM-CDGS-XS-2024-0248-五冶钢构-南充市医学院项目</v>
      </c>
      <c r="R1362" s="118" t="str">
        <f>_xlfn._xlws.FILTER(辅助信息!D:D,辅助信息!E:E=B1362)</f>
        <v>五冶钢构南充医学科学产业园建设项目</v>
      </c>
    </row>
    <row r="1363" hidden="1" spans="2:18">
      <c r="B1363" s="40" t="s">
        <v>127</v>
      </c>
      <c r="C1363" s="70">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09" t="str">
        <f>VLOOKUP(B1363,辅助信息!E:J,6,FALSE)</f>
        <v>送货单：送货单位：南充思临新材料科技有限公司,收货单位：五冶集团川北(南充)建设有限公司,项目名称：南充医学科学产业园,送货车型13米,装货前联系收货人核实到场规格</v>
      </c>
      <c r="M1363" s="91">
        <v>45780</v>
      </c>
      <c r="O1363" s="62">
        <f ca="1" t="shared" si="63"/>
        <v>0</v>
      </c>
      <c r="P1363" s="62">
        <f ca="1" t="shared" si="64"/>
        <v>180</v>
      </c>
      <c r="Q1363" s="29" t="str">
        <f>VLOOKUP(B1363,辅助信息!E:M,9,FALSE)</f>
        <v>ZTWM-CDGS-XS-2024-0248-五冶钢构-南充市医学院项目</v>
      </c>
      <c r="R1363" s="118" t="str">
        <f>_xlfn._xlws.FILTER(辅助信息!D:D,辅助信息!E:E=B1363)</f>
        <v>五冶钢构南充医学科学产业园建设项目</v>
      </c>
    </row>
    <row r="1364" hidden="1" spans="2:18">
      <c r="B1364" s="40" t="s">
        <v>72</v>
      </c>
      <c r="C1364" s="70">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09" t="str">
        <f>VLOOKUP(B1364,辅助信息!E:J,6,FALSE)</f>
        <v>送货单：送货单位：南充思临新材料科技有限公司,收货单位：五冶集团川北(南充)建设有限公司,项目名称：南充医学科学产业园,送货车型13米,装货前联系收货人核实到场规格</v>
      </c>
      <c r="M1364" s="91">
        <v>45780</v>
      </c>
      <c r="O1364" s="62">
        <f ca="1" t="shared" si="63"/>
        <v>0</v>
      </c>
      <c r="P1364" s="62">
        <f ca="1" t="shared" si="64"/>
        <v>180</v>
      </c>
      <c r="Q1364" s="29" t="str">
        <f>VLOOKUP(B1364,辅助信息!E:M,9,FALSE)</f>
        <v>ZTWM-CDGS-XS-2024-0248-五冶钢构-南充市医学院项目</v>
      </c>
      <c r="R1364" s="118" t="str">
        <f>_xlfn._xlws.FILTER(辅助信息!D:D,辅助信息!E:E=B1364)</f>
        <v>五冶钢构南充医学科学产业园建设项目</v>
      </c>
    </row>
    <row r="1365" hidden="1" spans="2:18">
      <c r="B1365" s="40" t="s">
        <v>72</v>
      </c>
      <c r="C1365" s="70">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09" t="str">
        <f>VLOOKUP(B1365,辅助信息!E:J,6,FALSE)</f>
        <v>送货单：送货单位：南充思临新材料科技有限公司,收货单位：五冶集团川北(南充)建设有限公司,项目名称：南充医学科学产业园,送货车型13米,装货前联系收货人核实到场规格</v>
      </c>
      <c r="M1365" s="91">
        <v>45780</v>
      </c>
      <c r="O1365" s="62">
        <f ca="1" t="shared" si="63"/>
        <v>0</v>
      </c>
      <c r="P1365" s="62">
        <f ca="1" t="shared" si="64"/>
        <v>180</v>
      </c>
      <c r="Q1365" s="29" t="str">
        <f>VLOOKUP(B1365,辅助信息!E:M,9,FALSE)</f>
        <v>ZTWM-CDGS-XS-2024-0248-五冶钢构-南充市医学院项目</v>
      </c>
      <c r="R1365" s="118" t="str">
        <f>_xlfn._xlws.FILTER(辅助信息!D:D,辅助信息!E:E=B1365)</f>
        <v>五冶钢构南充医学科学产业园建设项目</v>
      </c>
    </row>
    <row r="1366" hidden="1" spans="2:18">
      <c r="B1366" s="40" t="s">
        <v>72</v>
      </c>
      <c r="C1366" s="70">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09" t="str">
        <f>VLOOKUP(B1366,辅助信息!E:J,6,FALSE)</f>
        <v>送货单：送货单位：南充思临新材料科技有限公司,收货单位：五冶集团川北(南充)建设有限公司,项目名称：南充医学科学产业园,送货车型13米,装货前联系收货人核实到场规格</v>
      </c>
      <c r="M1366" s="91">
        <v>45780</v>
      </c>
      <c r="O1366" s="62">
        <f ca="1" t="shared" si="63"/>
        <v>0</v>
      </c>
      <c r="P1366" s="62">
        <f ca="1" t="shared" si="64"/>
        <v>180</v>
      </c>
      <c r="Q1366" s="29" t="str">
        <f>VLOOKUP(B1366,辅助信息!E:M,9,FALSE)</f>
        <v>ZTWM-CDGS-XS-2024-0248-五冶钢构-南充市医学院项目</v>
      </c>
      <c r="R1366" s="118" t="str">
        <f>_xlfn._xlws.FILTER(辅助信息!D:D,辅助信息!E:E=B1366)</f>
        <v>五冶钢构南充医学科学产业园建设项目</v>
      </c>
    </row>
    <row r="1367" hidden="1" spans="2:18">
      <c r="B1367" s="40" t="s">
        <v>81</v>
      </c>
      <c r="C1367" s="70">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09" t="str">
        <f>VLOOKUP(B1367,辅助信息!E:J,6,FALSE)</f>
        <v>现场禁止使用氢能源挂车！优先威钢发货,我方卸车,新老国标钢厂不加价可直发，因陕钢多次出现磅差，项目拒绝使用</v>
      </c>
      <c r="M1367" s="91">
        <v>45782</v>
      </c>
      <c r="O1367" s="62">
        <f ca="1" t="shared" ref="O1367:O1378" si="65">IF(OR(M1367="",N1367&lt;&gt;""),"",MAX(M1367-TODAY(),0))</f>
        <v>0</v>
      </c>
      <c r="P1367" s="62">
        <f ca="1" t="shared" ref="P1367:P1378" si="66">IF(M1367="","",IF(N1367&lt;&gt;"",MAX(N1367-M1367,0),IF(TODAY()&gt;M1367,TODAY()-M1367,0)))</f>
        <v>178</v>
      </c>
      <c r="Q1367" s="29" t="str">
        <f>VLOOKUP(B1367,辅助信息!E:M,9,FALSE)</f>
        <v>ZTWM-CDGS-XS-2024-0030-华西集采-简州大道</v>
      </c>
      <c r="R1367" s="118" t="str">
        <f>_xlfn._xlws.FILTER(辅助信息!D:D,辅助信息!E:E=B1367)</f>
        <v>华西简阳西城嘉苑</v>
      </c>
    </row>
    <row r="1368" hidden="1" spans="2:18">
      <c r="B1368" s="40" t="s">
        <v>81</v>
      </c>
      <c r="C1368" s="70">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09" t="str">
        <f>VLOOKUP(B1368,辅助信息!E:J,6,FALSE)</f>
        <v>现场禁止使用氢能源挂车！优先威钢发货,我方卸车,新老国标钢厂不加价可直发，因陕钢多次出现磅差，项目拒绝使用</v>
      </c>
      <c r="M1368" s="91">
        <v>45782</v>
      </c>
      <c r="O1368" s="62">
        <f ca="1" t="shared" si="65"/>
        <v>0</v>
      </c>
      <c r="P1368" s="62">
        <f ca="1" t="shared" si="66"/>
        <v>178</v>
      </c>
      <c r="Q1368" s="29" t="str">
        <f>VLOOKUP(B1368,辅助信息!E:M,9,FALSE)</f>
        <v>ZTWM-CDGS-XS-2024-0030-华西集采-简州大道</v>
      </c>
      <c r="R1368" s="118" t="str">
        <f>_xlfn._xlws.FILTER(辅助信息!D:D,辅助信息!E:E=B1368)</f>
        <v>华西简阳西城嘉苑</v>
      </c>
    </row>
    <row r="1369" hidden="1" spans="2:18">
      <c r="B1369" s="40" t="s">
        <v>81</v>
      </c>
      <c r="C1369" s="70">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09" t="str">
        <f>VLOOKUP(B1369,辅助信息!E:J,6,FALSE)</f>
        <v>现场禁止使用氢能源挂车！优先威钢发货,我方卸车,新老国标钢厂不加价可直发，因陕钢多次出现磅差，项目拒绝使用</v>
      </c>
      <c r="M1369" s="91">
        <v>45782</v>
      </c>
      <c r="O1369" s="62">
        <f ca="1" t="shared" si="65"/>
        <v>0</v>
      </c>
      <c r="P1369" s="62">
        <f ca="1" t="shared" si="66"/>
        <v>178</v>
      </c>
      <c r="Q1369" s="29" t="str">
        <f>VLOOKUP(B1369,辅助信息!E:M,9,FALSE)</f>
        <v>ZTWM-CDGS-XS-2024-0030-华西集采-简州大道</v>
      </c>
      <c r="R1369" s="118" t="str">
        <f>_xlfn._xlws.FILTER(辅助信息!D:D,辅助信息!E:E=B1369)</f>
        <v>华西简阳西城嘉苑</v>
      </c>
    </row>
    <row r="1370" hidden="1" spans="2:18">
      <c r="B1370" s="40" t="s">
        <v>81</v>
      </c>
      <c r="C1370" s="70">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09" t="str">
        <f>VLOOKUP(B1370,辅助信息!E:J,6,FALSE)</f>
        <v>现场禁止使用氢能源挂车！优先威钢发货,我方卸车,新老国标钢厂不加价可直发，因陕钢多次出现磅差，项目拒绝使用</v>
      </c>
      <c r="M1370" s="91">
        <v>45782</v>
      </c>
      <c r="O1370" s="62">
        <f ca="1" t="shared" si="65"/>
        <v>0</v>
      </c>
      <c r="P1370" s="62">
        <f ca="1" t="shared" si="66"/>
        <v>178</v>
      </c>
      <c r="Q1370" s="29" t="str">
        <f>VLOOKUP(B1370,辅助信息!E:M,9,FALSE)</f>
        <v>ZTWM-CDGS-XS-2024-0030-华西集采-简州大道</v>
      </c>
      <c r="R1370" s="118" t="str">
        <f>_xlfn._xlws.FILTER(辅助信息!D:D,辅助信息!E:E=B1370)</f>
        <v>华西简阳西城嘉苑</v>
      </c>
    </row>
    <row r="1371" hidden="1" spans="2:18">
      <c r="B1371" s="40" t="s">
        <v>81</v>
      </c>
      <c r="C1371" s="70">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09" t="str">
        <f>VLOOKUP(B1371,辅助信息!E:J,6,FALSE)</f>
        <v>现场禁止使用氢能源挂车！优先威钢发货,我方卸车,新老国标钢厂不加价可直发，因陕钢多次出现磅差，项目拒绝使用</v>
      </c>
      <c r="M1371" s="91">
        <v>45782</v>
      </c>
      <c r="O1371" s="62">
        <f ca="1" t="shared" si="65"/>
        <v>0</v>
      </c>
      <c r="P1371" s="62">
        <f ca="1" t="shared" si="66"/>
        <v>178</v>
      </c>
      <c r="Q1371" s="29" t="str">
        <f>VLOOKUP(B1371,辅助信息!E:M,9,FALSE)</f>
        <v>ZTWM-CDGS-XS-2024-0030-华西集采-简州大道</v>
      </c>
      <c r="R1371" s="118" t="str">
        <f>_xlfn._xlws.FILTER(辅助信息!D:D,辅助信息!E:E=B1371)</f>
        <v>华西简阳西城嘉苑</v>
      </c>
    </row>
    <row r="1372" hidden="1" spans="2:18">
      <c r="B1372" s="40" t="s">
        <v>81</v>
      </c>
      <c r="C1372" s="70">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09" t="str">
        <f>VLOOKUP(B1372,辅助信息!E:J,6,FALSE)</f>
        <v>现场禁止使用氢能源挂车！优先威钢发货,我方卸车,新老国标钢厂不加价可直发，因陕钢多次出现磅差，项目拒绝使用</v>
      </c>
      <c r="M1372" s="91">
        <v>45782</v>
      </c>
      <c r="O1372" s="62">
        <f ca="1" t="shared" si="65"/>
        <v>0</v>
      </c>
      <c r="P1372" s="62">
        <f ca="1" t="shared" si="66"/>
        <v>178</v>
      </c>
      <c r="Q1372" s="29" t="str">
        <f>VLOOKUP(B1372,辅助信息!E:M,9,FALSE)</f>
        <v>ZTWM-CDGS-XS-2024-0030-华西集采-简州大道</v>
      </c>
      <c r="R1372" s="118" t="str">
        <f>_xlfn._xlws.FILTER(辅助信息!D:D,辅助信息!E:E=B1372)</f>
        <v>华西简阳西城嘉苑</v>
      </c>
    </row>
    <row r="1373" hidden="1" spans="2:18">
      <c r="B1373" s="40" t="s">
        <v>81</v>
      </c>
      <c r="C1373" s="70">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09" t="str">
        <f>VLOOKUP(B1373,辅助信息!E:J,6,FALSE)</f>
        <v>现场禁止使用氢能源挂车！优先威钢发货,我方卸车,新老国标钢厂不加价可直发，因陕钢多次出现磅差，项目拒绝使用</v>
      </c>
      <c r="M1373" s="91">
        <v>45782</v>
      </c>
      <c r="O1373" s="62">
        <f ca="1" t="shared" si="65"/>
        <v>0</v>
      </c>
      <c r="P1373" s="62">
        <f ca="1" t="shared" si="66"/>
        <v>178</v>
      </c>
      <c r="Q1373" s="29" t="str">
        <f>VLOOKUP(B1373,辅助信息!E:M,9,FALSE)</f>
        <v>ZTWM-CDGS-XS-2024-0030-华西集采-简州大道</v>
      </c>
      <c r="R1373" s="118" t="str">
        <f>_xlfn._xlws.FILTER(辅助信息!D:D,辅助信息!E:E=B1373)</f>
        <v>华西简阳西城嘉苑</v>
      </c>
    </row>
    <row r="1374" hidden="1" spans="2:18">
      <c r="B1374" s="40" t="s">
        <v>81</v>
      </c>
      <c r="C1374" s="70">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09" t="str">
        <f>VLOOKUP(B1374,辅助信息!E:J,6,FALSE)</f>
        <v>现场禁止使用氢能源挂车！优先威钢发货,我方卸车,新老国标钢厂不加价可直发，因陕钢多次出现磅差，项目拒绝使用</v>
      </c>
      <c r="M1374" s="91">
        <v>45782</v>
      </c>
      <c r="O1374" s="62">
        <f ca="1" t="shared" si="65"/>
        <v>0</v>
      </c>
      <c r="P1374" s="62">
        <f ca="1" t="shared" si="66"/>
        <v>178</v>
      </c>
      <c r="Q1374" s="29" t="str">
        <f>VLOOKUP(B1374,辅助信息!E:M,9,FALSE)</f>
        <v>ZTWM-CDGS-XS-2024-0030-华西集采-简州大道</v>
      </c>
      <c r="R1374" s="118" t="str">
        <f>_xlfn._xlws.FILTER(辅助信息!D:D,辅助信息!E:E=B1374)</f>
        <v>华西简阳西城嘉苑</v>
      </c>
    </row>
    <row r="1375" hidden="1" spans="2:18">
      <c r="B1375" s="40" t="s">
        <v>81</v>
      </c>
      <c r="C1375" s="70">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09" t="str">
        <f>VLOOKUP(B1375,辅助信息!E:J,6,FALSE)</f>
        <v>现场禁止使用氢能源挂车！优先威钢发货,我方卸车,新老国标钢厂不加价可直发，因陕钢多次出现磅差，项目拒绝使用</v>
      </c>
      <c r="M1375" s="91">
        <v>45782</v>
      </c>
      <c r="O1375" s="62">
        <f ca="1" t="shared" si="65"/>
        <v>0</v>
      </c>
      <c r="P1375" s="62">
        <f ca="1" t="shared" si="66"/>
        <v>178</v>
      </c>
      <c r="Q1375" s="29" t="str">
        <f>VLOOKUP(B1375,辅助信息!E:M,9,FALSE)</f>
        <v>ZTWM-CDGS-XS-2024-0030-华西集采-简州大道</v>
      </c>
      <c r="R1375" s="118" t="str">
        <f>_xlfn._xlws.FILTER(辅助信息!D:D,辅助信息!E:E=B1375)</f>
        <v>华西简阳西城嘉苑</v>
      </c>
    </row>
    <row r="1376" hidden="1" spans="2:18">
      <c r="B1376" s="40" t="s">
        <v>81</v>
      </c>
      <c r="C1376" s="70">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09" t="str">
        <f>VLOOKUP(B1376,辅助信息!E:J,6,FALSE)</f>
        <v>现场禁止使用氢能源挂车！优先威钢发货,我方卸车,新老国标钢厂不加价可直发，因陕钢多次出现磅差，项目拒绝使用</v>
      </c>
      <c r="M1376" s="91">
        <v>45782</v>
      </c>
      <c r="O1376" s="62">
        <f ca="1" t="shared" si="65"/>
        <v>0</v>
      </c>
      <c r="P1376" s="62">
        <f ca="1" t="shared" si="66"/>
        <v>178</v>
      </c>
      <c r="Q1376" s="29" t="str">
        <f>VLOOKUP(B1376,辅助信息!E:M,9,FALSE)</f>
        <v>ZTWM-CDGS-XS-2024-0030-华西集采-简州大道</v>
      </c>
      <c r="R1376" s="118" t="str">
        <f>_xlfn._xlws.FILTER(辅助信息!D:D,辅助信息!E:E=B1376)</f>
        <v>华西简阳西城嘉苑</v>
      </c>
    </row>
    <row r="1377" hidden="1" spans="2:18">
      <c r="B1377" s="40" t="s">
        <v>106</v>
      </c>
      <c r="C1377" s="70">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09" t="str">
        <f>VLOOKUP(B1377,辅助信息!E:J,6,FALSE)</f>
        <v>提前联系到场规格</v>
      </c>
      <c r="M1377" s="91">
        <v>45780</v>
      </c>
      <c r="O1377" s="62">
        <f ca="1" t="shared" si="65"/>
        <v>0</v>
      </c>
      <c r="P1377" s="62">
        <f ca="1" t="shared" si="66"/>
        <v>180</v>
      </c>
      <c r="Q1377" s="29" t="str">
        <f>VLOOKUP(B1377,辅助信息!E:M,9,FALSE)</f>
        <v>ZTWM-CDGS-XS-2024-0169-中冶西部钢构-宜宾市南溪区幸福路东路,高县月江镇建设项目</v>
      </c>
      <c r="R1377" s="118" t="str">
        <f>_xlfn._xlws.FILTER(辅助信息!D:D,辅助信息!E:E=B1377)</f>
        <v>五冶钢构-宜宾市南溪区高县月江镇建设项目</v>
      </c>
    </row>
    <row r="1378" hidden="1" spans="2:18">
      <c r="B1378" s="40" t="s">
        <v>106</v>
      </c>
      <c r="C1378" s="70">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09" t="str">
        <f>VLOOKUP(B1378,辅助信息!E:J,6,FALSE)</f>
        <v>提前联系到场规格</v>
      </c>
      <c r="M1378" s="91">
        <v>45780</v>
      </c>
      <c r="O1378" s="62">
        <f ca="1" t="shared" si="65"/>
        <v>0</v>
      </c>
      <c r="P1378" s="62">
        <f ca="1" t="shared" si="66"/>
        <v>180</v>
      </c>
      <c r="Q1378" s="29" t="str">
        <f>VLOOKUP(B1378,辅助信息!E:M,9,FALSE)</f>
        <v>ZTWM-CDGS-XS-2024-0169-中冶西部钢构-宜宾市南溪区幸福路东路,高县月江镇建设项目</v>
      </c>
      <c r="R1378" s="118" t="str">
        <f>_xlfn._xlws.FILTER(辅助信息!D:D,辅助信息!E:E=B1378)</f>
        <v>五冶钢构-宜宾市南溪区高县月江镇建设项目</v>
      </c>
    </row>
    <row r="1379" hidden="1" spans="2:18">
      <c r="B1379" s="40" t="s">
        <v>81</v>
      </c>
      <c r="C1379" s="70">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09" t="str">
        <f>VLOOKUP(B1379,辅助信息!E:J,6,FALSE)</f>
        <v>现场禁止使用氢能源挂车！优先威钢发货,我方卸车,新老国标钢厂不加价可直发，因陕钢多次出现磅差，项目拒绝使用</v>
      </c>
      <c r="M1379" s="91">
        <v>45784</v>
      </c>
      <c r="O1379" s="62">
        <f ca="1" t="shared" ref="O1379:O1407" si="67">IF(OR(M1379="",N1379&lt;&gt;""),"",MAX(M1379-TODAY(),0))</f>
        <v>0</v>
      </c>
      <c r="P1379" s="62">
        <f ca="1" t="shared" ref="P1379:P1407" si="68">IF(M1379="","",IF(N1379&lt;&gt;"",MAX(N1379-M1379,0),IF(TODAY()&gt;M1379,TODAY()-M1379,0)))</f>
        <v>176</v>
      </c>
      <c r="Q1379" s="29" t="str">
        <f>VLOOKUP(B1379,辅助信息!E:M,9,FALSE)</f>
        <v>ZTWM-CDGS-XS-2024-0030-华西集采-简州大道</v>
      </c>
      <c r="R1379" s="118" t="str">
        <f>_xlfn._xlws.FILTER(辅助信息!D:D,辅助信息!E:E=B1379)</f>
        <v>华西简阳西城嘉苑</v>
      </c>
    </row>
    <row r="1380" hidden="1" spans="2:18">
      <c r="B1380" s="40" t="s">
        <v>81</v>
      </c>
      <c r="C1380" s="70">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09" t="str">
        <f>VLOOKUP(B1380,辅助信息!E:J,6,FALSE)</f>
        <v>现场禁止使用氢能源挂车！优先威钢发货,我方卸车,新老国标钢厂不加价可直发，因陕钢多次出现磅差，项目拒绝使用</v>
      </c>
      <c r="M1380" s="91">
        <v>45784</v>
      </c>
      <c r="O1380" s="62">
        <f ca="1" t="shared" si="67"/>
        <v>0</v>
      </c>
      <c r="P1380" s="62">
        <f ca="1" t="shared" si="68"/>
        <v>176</v>
      </c>
      <c r="Q1380" s="29" t="str">
        <f>VLOOKUP(B1380,辅助信息!E:M,9,FALSE)</f>
        <v>ZTWM-CDGS-XS-2024-0030-华西集采-简州大道</v>
      </c>
      <c r="R1380" s="118" t="str">
        <f>_xlfn._xlws.FILTER(辅助信息!D:D,辅助信息!E:E=B1380)</f>
        <v>华西简阳西城嘉苑</v>
      </c>
    </row>
    <row r="1381" hidden="1" spans="2:18">
      <c r="B1381" s="40" t="s">
        <v>81</v>
      </c>
      <c r="C1381" s="70">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09" t="str">
        <f>VLOOKUP(B1381,辅助信息!E:J,6,FALSE)</f>
        <v>现场禁止使用氢能源挂车！优先威钢发货,我方卸车,新老国标钢厂不加价可直发，因陕钢多次出现磅差，项目拒绝使用</v>
      </c>
      <c r="M1381" s="91">
        <v>45784</v>
      </c>
      <c r="O1381" s="62">
        <f ca="1" t="shared" si="67"/>
        <v>0</v>
      </c>
      <c r="P1381" s="62">
        <f ca="1" t="shared" si="68"/>
        <v>176</v>
      </c>
      <c r="Q1381" s="29" t="str">
        <f>VLOOKUP(B1381,辅助信息!E:M,9,FALSE)</f>
        <v>ZTWM-CDGS-XS-2024-0030-华西集采-简州大道</v>
      </c>
      <c r="R1381" s="118" t="str">
        <f>_xlfn._xlws.FILTER(辅助信息!D:D,辅助信息!E:E=B1381)</f>
        <v>华西简阳西城嘉苑</v>
      </c>
    </row>
    <row r="1382" hidden="1" spans="2:18">
      <c r="B1382" s="40" t="s">
        <v>81</v>
      </c>
      <c r="C1382" s="70">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09" t="str">
        <f>VLOOKUP(B1382,辅助信息!E:J,6,FALSE)</f>
        <v>现场禁止使用氢能源挂车！优先威钢发货,我方卸车,新老国标钢厂不加价可直发，因陕钢多次出现磅差，项目拒绝使用</v>
      </c>
      <c r="M1382" s="91">
        <v>45784</v>
      </c>
      <c r="O1382" s="62">
        <f ca="1" t="shared" si="67"/>
        <v>0</v>
      </c>
      <c r="P1382" s="62">
        <f ca="1" t="shared" si="68"/>
        <v>176</v>
      </c>
      <c r="Q1382" s="29" t="str">
        <f>VLOOKUP(B1382,辅助信息!E:M,9,FALSE)</f>
        <v>ZTWM-CDGS-XS-2024-0030-华西集采-简州大道</v>
      </c>
      <c r="R1382" s="118" t="str">
        <f>_xlfn._xlws.FILTER(辅助信息!D:D,辅助信息!E:E=B1382)</f>
        <v>华西简阳西城嘉苑</v>
      </c>
    </row>
    <row r="1383" hidden="1" spans="2:18">
      <c r="B1383" s="40" t="s">
        <v>81</v>
      </c>
      <c r="C1383" s="70">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09" t="str">
        <f>VLOOKUP(B1383,辅助信息!E:J,6,FALSE)</f>
        <v>现场禁止使用氢能源挂车！优先威钢发货,我方卸车,新老国标钢厂不加价可直发，因陕钢多次出现磅差，项目拒绝使用</v>
      </c>
      <c r="M1383" s="91">
        <v>45784</v>
      </c>
      <c r="O1383" s="62">
        <f ca="1" t="shared" si="67"/>
        <v>0</v>
      </c>
      <c r="P1383" s="62">
        <f ca="1" t="shared" si="68"/>
        <v>176</v>
      </c>
      <c r="Q1383" s="29" t="str">
        <f>VLOOKUP(B1383,辅助信息!E:M,9,FALSE)</f>
        <v>ZTWM-CDGS-XS-2024-0030-华西集采-简州大道</v>
      </c>
      <c r="R1383" s="118" t="str">
        <f>_xlfn._xlws.FILTER(辅助信息!D:D,辅助信息!E:E=B1383)</f>
        <v>华西简阳西城嘉苑</v>
      </c>
    </row>
    <row r="1384" hidden="1" spans="2:18">
      <c r="B1384" s="40" t="s">
        <v>81</v>
      </c>
      <c r="C1384" s="70">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09" t="str">
        <f>VLOOKUP(B1384,辅助信息!E:J,6,FALSE)</f>
        <v>现场禁止使用氢能源挂车！优先威钢发货,我方卸车,新老国标钢厂不加价可直发，因陕钢多次出现磅差，项目拒绝使用</v>
      </c>
      <c r="M1384" s="91">
        <v>45784</v>
      </c>
      <c r="O1384" s="62">
        <f ca="1" t="shared" si="67"/>
        <v>0</v>
      </c>
      <c r="P1384" s="62">
        <f ca="1" t="shared" si="68"/>
        <v>176</v>
      </c>
      <c r="Q1384" s="29" t="str">
        <f>VLOOKUP(B1384,辅助信息!E:M,9,FALSE)</f>
        <v>ZTWM-CDGS-XS-2024-0030-华西集采-简州大道</v>
      </c>
      <c r="R1384" s="118" t="str">
        <f>_xlfn._xlws.FILTER(辅助信息!D:D,辅助信息!E:E=B1384)</f>
        <v>华西简阳西城嘉苑</v>
      </c>
    </row>
    <row r="1385" hidden="1" spans="2:18">
      <c r="B1385" s="40" t="s">
        <v>81</v>
      </c>
      <c r="C1385" s="70">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09" t="str">
        <f>VLOOKUP(B1385,辅助信息!E:J,6,FALSE)</f>
        <v>现场禁止使用氢能源挂车！优先威钢发货,我方卸车,新老国标钢厂不加价可直发，因陕钢多次出现磅差，项目拒绝使用</v>
      </c>
      <c r="M1385" s="91">
        <v>45784</v>
      </c>
      <c r="O1385" s="62">
        <f ca="1" t="shared" si="67"/>
        <v>0</v>
      </c>
      <c r="P1385" s="62">
        <f ca="1" t="shared" si="68"/>
        <v>176</v>
      </c>
      <c r="Q1385" s="29" t="str">
        <f>VLOOKUP(B1385,辅助信息!E:M,9,FALSE)</f>
        <v>ZTWM-CDGS-XS-2024-0030-华西集采-简州大道</v>
      </c>
      <c r="R1385" s="118" t="str">
        <f>_xlfn._xlws.FILTER(辅助信息!D:D,辅助信息!E:E=B1385)</f>
        <v>华西简阳西城嘉苑</v>
      </c>
    </row>
    <row r="1386" hidden="1" spans="2:18">
      <c r="B1386" s="40" t="s">
        <v>81</v>
      </c>
      <c r="C1386" s="70">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09" t="str">
        <f>VLOOKUP(B1386,辅助信息!E:J,6,FALSE)</f>
        <v>现场禁止使用氢能源挂车！优先威钢发货,我方卸车,新老国标钢厂不加价可直发，因陕钢多次出现磅差，项目拒绝使用</v>
      </c>
      <c r="M1386" s="91">
        <v>45784</v>
      </c>
      <c r="O1386" s="62">
        <f ca="1" t="shared" si="67"/>
        <v>0</v>
      </c>
      <c r="P1386" s="62">
        <f ca="1" t="shared" si="68"/>
        <v>176</v>
      </c>
      <c r="Q1386" s="29" t="str">
        <f>VLOOKUP(B1386,辅助信息!E:M,9,FALSE)</f>
        <v>ZTWM-CDGS-XS-2024-0030-华西集采-简州大道</v>
      </c>
      <c r="R1386" s="118" t="str">
        <f>_xlfn._xlws.FILTER(辅助信息!D:D,辅助信息!E:E=B1386)</f>
        <v>华西简阳西城嘉苑</v>
      </c>
    </row>
    <row r="1387" hidden="1" spans="2:18">
      <c r="B1387" s="40" t="s">
        <v>81</v>
      </c>
      <c r="C1387" s="70">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09" t="str">
        <f>VLOOKUP(B1387,辅助信息!E:J,6,FALSE)</f>
        <v>现场禁止使用氢能源挂车！优先威钢发货,我方卸车,新老国标钢厂不加价可直发，因陕钢多次出现磅差，项目拒绝使用</v>
      </c>
      <c r="M1387" s="91">
        <v>45784</v>
      </c>
      <c r="O1387" s="62">
        <f ca="1" t="shared" si="67"/>
        <v>0</v>
      </c>
      <c r="P1387" s="62">
        <f ca="1" t="shared" si="68"/>
        <v>176</v>
      </c>
      <c r="Q1387" s="29" t="str">
        <f>VLOOKUP(B1387,辅助信息!E:M,9,FALSE)</f>
        <v>ZTWM-CDGS-XS-2024-0030-华西集采-简州大道</v>
      </c>
      <c r="R1387" s="118" t="str">
        <f>_xlfn._xlws.FILTER(辅助信息!D:D,辅助信息!E:E=B1387)</f>
        <v>华西简阳西城嘉苑</v>
      </c>
    </row>
    <row r="1388" hidden="1" spans="2:18">
      <c r="B1388" s="40" t="s">
        <v>81</v>
      </c>
      <c r="C1388" s="70">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09" t="str">
        <f>VLOOKUP(B1388,辅助信息!E:J,6,FALSE)</f>
        <v>现场禁止使用氢能源挂车！优先威钢发货,我方卸车,新老国标钢厂不加价可直发，因陕钢多次出现磅差，项目拒绝使用</v>
      </c>
      <c r="M1388" s="91">
        <v>45784</v>
      </c>
      <c r="O1388" s="62">
        <f ca="1" t="shared" si="67"/>
        <v>0</v>
      </c>
      <c r="P1388" s="62">
        <f ca="1" t="shared" si="68"/>
        <v>176</v>
      </c>
      <c r="Q1388" s="29" t="str">
        <f>VLOOKUP(B1388,辅助信息!E:M,9,FALSE)</f>
        <v>ZTWM-CDGS-XS-2024-0030-华西集采-简州大道</v>
      </c>
      <c r="R1388" s="118" t="str">
        <f>_xlfn._xlws.FILTER(辅助信息!D:D,辅助信息!E:E=B1388)</f>
        <v>华西简阳西城嘉苑</v>
      </c>
    </row>
    <row r="1389" hidden="1" spans="2:18">
      <c r="B1389" s="40" t="s">
        <v>81</v>
      </c>
      <c r="C1389" s="70">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09" t="str">
        <f>VLOOKUP(B1389,辅助信息!E:J,6,FALSE)</f>
        <v>现场禁止使用氢能源挂车！优先威钢发货,我方卸车,新老国标钢厂不加价可直发，因陕钢多次出现磅差，项目拒绝使用</v>
      </c>
      <c r="M1389" s="91">
        <v>45784</v>
      </c>
      <c r="O1389" s="62">
        <f ca="1" t="shared" si="67"/>
        <v>0</v>
      </c>
      <c r="P1389" s="62">
        <f ca="1" t="shared" si="68"/>
        <v>176</v>
      </c>
      <c r="Q1389" s="29" t="str">
        <f>VLOOKUP(B1389,辅助信息!E:M,9,FALSE)</f>
        <v>ZTWM-CDGS-XS-2024-0030-华西集采-简州大道</v>
      </c>
      <c r="R1389" s="118" t="str">
        <f>_xlfn._xlws.FILTER(辅助信息!D:D,辅助信息!E:E=B1389)</f>
        <v>华西简阳西城嘉苑</v>
      </c>
    </row>
    <row r="1390" hidden="1" spans="2:18">
      <c r="B1390" s="40" t="s">
        <v>148</v>
      </c>
      <c r="C1390" s="70">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09" t="str">
        <f>VLOOKUP(B1390,辅助信息!E:J,6,FALSE)</f>
        <v>装货前联系收货人核实到场规格，货物最下面用方木垫下方便卸货</v>
      </c>
      <c r="M1390" s="91">
        <v>45784</v>
      </c>
      <c r="O1390" s="62">
        <f ca="1" t="shared" si="67"/>
        <v>0</v>
      </c>
      <c r="P1390" s="62">
        <f ca="1" t="shared" si="68"/>
        <v>176</v>
      </c>
      <c r="Q1390" s="29" t="str">
        <f>VLOOKUP(B1390,辅助信息!E:M,9,FALSE)</f>
        <v>ZTWM-CDGS-XS-2025-0059-宜宾兴港建材-宜宾冷链项目</v>
      </c>
      <c r="R1390" s="118" t="str">
        <f>_xlfn._xlws.FILTER(辅助信息!D:D,辅助信息!E:E=B1390)</f>
        <v>宜宾兴港三江新区长江工业园建设项目</v>
      </c>
    </row>
    <row r="1391" hidden="1" spans="2:18">
      <c r="B1391" s="40" t="s">
        <v>148</v>
      </c>
      <c r="C1391" s="70">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09" t="str">
        <f>VLOOKUP(B1391,辅助信息!E:J,6,FALSE)</f>
        <v>装货前联系收货人核实到场规格，货物最下面用方木垫下方便卸货</v>
      </c>
      <c r="M1391" s="91">
        <v>45784</v>
      </c>
      <c r="O1391" s="62">
        <f ca="1" t="shared" si="67"/>
        <v>0</v>
      </c>
      <c r="P1391" s="62">
        <f ca="1" t="shared" si="68"/>
        <v>176</v>
      </c>
      <c r="Q1391" s="29" t="str">
        <f>VLOOKUP(B1391,辅助信息!E:M,9,FALSE)</f>
        <v>ZTWM-CDGS-XS-2025-0059-宜宾兴港建材-宜宾冷链项目</v>
      </c>
      <c r="R1391" s="118" t="str">
        <f>_xlfn._xlws.FILTER(辅助信息!D:D,辅助信息!E:E=B1391)</f>
        <v>宜宾兴港三江新区长江工业园建设项目</v>
      </c>
    </row>
    <row r="1392" hidden="1" spans="2:18">
      <c r="B1392" s="40" t="s">
        <v>92</v>
      </c>
      <c r="C1392" s="70">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09" t="str">
        <f>VLOOKUP(B1392,辅助信息!E:J,6,FALSE)</f>
        <v>优先威钢,我方卸车,新老国标钢厂不加价可直发</v>
      </c>
      <c r="M1392" s="91">
        <v>45784</v>
      </c>
      <c r="O1392" s="62">
        <f ca="1" t="shared" si="67"/>
        <v>0</v>
      </c>
      <c r="P1392" s="62">
        <f ca="1" t="shared" si="68"/>
        <v>176</v>
      </c>
      <c r="Q1392" s="29" t="str">
        <f>VLOOKUP(B1392,辅助信息!E:M,9,FALSE)</f>
        <v>ZTWM-CDGS-XS-2024-0092-华西-萌海科创农业生态谷</v>
      </c>
      <c r="R1392" s="118" t="str">
        <f>_xlfn._xlws.FILTER(辅助信息!D:D,辅助信息!E:E=B1392)</f>
        <v>华西萌海-科创农业生态谷</v>
      </c>
    </row>
    <row r="1393" hidden="1" spans="2:18">
      <c r="B1393" s="40" t="s">
        <v>92</v>
      </c>
      <c r="C1393" s="70">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09" t="str">
        <f>VLOOKUP(B1393,辅助信息!E:J,6,FALSE)</f>
        <v>优先威钢,我方卸车,新老国标钢厂不加价可直发</v>
      </c>
      <c r="M1393" s="91">
        <v>45784</v>
      </c>
      <c r="O1393" s="62">
        <f ca="1" t="shared" si="67"/>
        <v>0</v>
      </c>
      <c r="P1393" s="62">
        <f ca="1" t="shared" si="68"/>
        <v>176</v>
      </c>
      <c r="Q1393" s="29" t="str">
        <f>VLOOKUP(B1393,辅助信息!E:M,9,FALSE)</f>
        <v>ZTWM-CDGS-XS-2024-0092-华西-萌海科创农业生态谷</v>
      </c>
      <c r="R1393" s="118" t="str">
        <f>_xlfn._xlws.FILTER(辅助信息!D:D,辅助信息!E:E=B1393)</f>
        <v>华西萌海-科创农业生态谷</v>
      </c>
    </row>
    <row r="1394" hidden="1" spans="2:18">
      <c r="B1394" s="40" t="s">
        <v>92</v>
      </c>
      <c r="C1394" s="70">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09" t="str">
        <f>VLOOKUP(B1394,辅助信息!E:J,6,FALSE)</f>
        <v>优先威钢,我方卸车,新老国标钢厂不加价可直发</v>
      </c>
      <c r="M1394" s="91">
        <v>45784</v>
      </c>
      <c r="O1394" s="62">
        <f ca="1" t="shared" si="67"/>
        <v>0</v>
      </c>
      <c r="P1394" s="62">
        <f ca="1" t="shared" si="68"/>
        <v>176</v>
      </c>
      <c r="Q1394" s="29" t="str">
        <f>VLOOKUP(B1394,辅助信息!E:M,9,FALSE)</f>
        <v>ZTWM-CDGS-XS-2024-0092-华西-萌海科创农业生态谷</v>
      </c>
      <c r="R1394" s="118" t="str">
        <f>_xlfn._xlws.FILTER(辅助信息!D:D,辅助信息!E:E=B1394)</f>
        <v>华西萌海-科创农业生态谷</v>
      </c>
    </row>
    <row r="1395" hidden="1" spans="2:18">
      <c r="B1395" s="40" t="s">
        <v>92</v>
      </c>
      <c r="C1395" s="70">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09" t="str">
        <f>VLOOKUP(B1395,辅助信息!E:J,6,FALSE)</f>
        <v>优先威钢,我方卸车,新老国标钢厂不加价可直发</v>
      </c>
      <c r="M1395" s="91">
        <v>45784</v>
      </c>
      <c r="O1395" s="62">
        <f ca="1" t="shared" si="67"/>
        <v>0</v>
      </c>
      <c r="P1395" s="62">
        <f ca="1" t="shared" si="68"/>
        <v>176</v>
      </c>
      <c r="Q1395" s="29" t="str">
        <f>VLOOKUP(B1395,辅助信息!E:M,9,FALSE)</f>
        <v>ZTWM-CDGS-XS-2024-0092-华西-萌海科创农业生态谷</v>
      </c>
      <c r="R1395" s="118" t="str">
        <f>_xlfn._xlws.FILTER(辅助信息!D:D,辅助信息!E:E=B1395)</f>
        <v>华西萌海-科创农业生态谷</v>
      </c>
    </row>
    <row r="1396" hidden="1" spans="2:18">
      <c r="B1396" s="40" t="s">
        <v>92</v>
      </c>
      <c r="C1396" s="70">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09" t="str">
        <f>VLOOKUP(B1396,辅助信息!E:J,6,FALSE)</f>
        <v>优先威钢,我方卸车,新老国标钢厂不加价可直发</v>
      </c>
      <c r="M1396" s="91">
        <v>45784</v>
      </c>
      <c r="O1396" s="62">
        <f ca="1" t="shared" si="67"/>
        <v>0</v>
      </c>
      <c r="P1396" s="62">
        <f ca="1" t="shared" si="68"/>
        <v>176</v>
      </c>
      <c r="Q1396" s="29" t="str">
        <f>VLOOKUP(B1396,辅助信息!E:M,9,FALSE)</f>
        <v>ZTWM-CDGS-XS-2024-0092-华西-萌海科创农业生态谷</v>
      </c>
      <c r="R1396" s="118" t="str">
        <f>_xlfn._xlws.FILTER(辅助信息!D:D,辅助信息!E:E=B1396)</f>
        <v>华西萌海-科创农业生态谷</v>
      </c>
    </row>
    <row r="1397" hidden="1" spans="2:18">
      <c r="B1397" s="40" t="s">
        <v>92</v>
      </c>
      <c r="C1397" s="70">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09" t="str">
        <f>VLOOKUP(B1397,辅助信息!E:J,6,FALSE)</f>
        <v>优先威钢,我方卸车,新老国标钢厂不加价可直发</v>
      </c>
      <c r="M1397" s="91">
        <v>45784</v>
      </c>
      <c r="O1397" s="62">
        <f ca="1" t="shared" si="67"/>
        <v>0</v>
      </c>
      <c r="P1397" s="62">
        <f ca="1" t="shared" si="68"/>
        <v>176</v>
      </c>
      <c r="Q1397" s="29" t="str">
        <f>VLOOKUP(B1397,辅助信息!E:M,9,FALSE)</f>
        <v>ZTWM-CDGS-XS-2024-0092-华西-萌海科创农业生态谷</v>
      </c>
      <c r="R1397" s="118" t="str">
        <f>_xlfn._xlws.FILTER(辅助信息!D:D,辅助信息!E:E=B1397)</f>
        <v>华西萌海-科创农业生态谷</v>
      </c>
    </row>
    <row r="1398" hidden="1" spans="2:18">
      <c r="B1398" s="40" t="s">
        <v>147</v>
      </c>
      <c r="C1398" s="70">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09" t="str">
        <f>VLOOKUP(B1398,辅助信息!E:J,6,FALSE)</f>
        <v>控制炉批号！多了现场不收！,优先安排达钢,提前联系到场规格及数量</v>
      </c>
      <c r="M1398" s="91">
        <v>45784</v>
      </c>
      <c r="O1398" s="62">
        <f ca="1" t="shared" si="67"/>
        <v>0</v>
      </c>
      <c r="P1398" s="62">
        <f ca="1" t="shared" si="68"/>
        <v>176</v>
      </c>
      <c r="Q1398" s="29" t="str">
        <f>VLOOKUP(B1398,辅助信息!E:M,9,FALSE)</f>
        <v>ZTWM-CDGS-XS-2024-0134-商投建工达州中医药科技成果示范园项目</v>
      </c>
      <c r="R1398" s="118" t="str">
        <f>_xlfn._xlws.FILTER(辅助信息!D:D,辅助信息!E:E=B1398)</f>
        <v>商投建工达州中医药科技园</v>
      </c>
    </row>
    <row r="1399" hidden="1" spans="2:18">
      <c r="B1399" s="40" t="s">
        <v>147</v>
      </c>
      <c r="C1399" s="70">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09" t="str">
        <f>VLOOKUP(B1399,辅助信息!E:J,6,FALSE)</f>
        <v>控制炉批号！多了现场不收！,优先安排达钢,提前联系到场规格及数量</v>
      </c>
      <c r="M1399" s="91">
        <v>45784</v>
      </c>
      <c r="O1399" s="62">
        <f ca="1" t="shared" si="67"/>
        <v>0</v>
      </c>
      <c r="P1399" s="62">
        <f ca="1" t="shared" si="68"/>
        <v>176</v>
      </c>
      <c r="Q1399" s="29" t="str">
        <f>VLOOKUP(B1399,辅助信息!E:M,9,FALSE)</f>
        <v>ZTWM-CDGS-XS-2024-0134-商投建工达州中医药科技成果示范园项目</v>
      </c>
      <c r="R1399" s="118" t="str">
        <f>_xlfn._xlws.FILTER(辅助信息!D:D,辅助信息!E:E=B1399)</f>
        <v>商投建工达州中医药科技园</v>
      </c>
    </row>
    <row r="1400" hidden="1" spans="2:18">
      <c r="B1400" s="40" t="s">
        <v>147</v>
      </c>
      <c r="C1400" s="70">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09" t="str">
        <f>VLOOKUP(B1400,辅助信息!E:J,6,FALSE)</f>
        <v>控制炉批号！多了现场不收！,优先安排达钢,提前联系到场规格及数量</v>
      </c>
      <c r="M1400" s="91">
        <v>45784</v>
      </c>
      <c r="O1400" s="62">
        <f ca="1" t="shared" si="67"/>
        <v>0</v>
      </c>
      <c r="P1400" s="62">
        <f ca="1" t="shared" si="68"/>
        <v>176</v>
      </c>
      <c r="Q1400" s="29" t="str">
        <f>VLOOKUP(B1400,辅助信息!E:M,9,FALSE)</f>
        <v>ZTWM-CDGS-XS-2024-0134-商投建工达州中医药科技成果示范园项目</v>
      </c>
      <c r="R1400" s="118" t="str">
        <f>_xlfn._xlws.FILTER(辅助信息!D:D,辅助信息!E:E=B1400)</f>
        <v>商投建工达州中医药科技园</v>
      </c>
    </row>
    <row r="1401" hidden="1" spans="2:18">
      <c r="B1401" s="40" t="s">
        <v>147</v>
      </c>
      <c r="C1401" s="70">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09" t="str">
        <f>VLOOKUP(B1401,辅助信息!E:J,6,FALSE)</f>
        <v>控制炉批号！多了现场不收！,优先安排达钢,提前联系到场规格及数量</v>
      </c>
      <c r="M1401" s="91">
        <v>45784</v>
      </c>
      <c r="O1401" s="62">
        <f ca="1" t="shared" si="67"/>
        <v>0</v>
      </c>
      <c r="P1401" s="62">
        <f ca="1" t="shared" si="68"/>
        <v>176</v>
      </c>
      <c r="Q1401" s="29" t="str">
        <f>VLOOKUP(B1401,辅助信息!E:M,9,FALSE)</f>
        <v>ZTWM-CDGS-XS-2024-0134-商投建工达州中医药科技成果示范园项目</v>
      </c>
      <c r="R1401" s="118" t="str">
        <f>_xlfn._xlws.FILTER(辅助信息!D:D,辅助信息!E:E=B1401)</f>
        <v>商投建工达州中医药科技园</v>
      </c>
    </row>
    <row r="1402" hidden="1" spans="2:18">
      <c r="B1402" s="40" t="s">
        <v>81</v>
      </c>
      <c r="C1402" s="70">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09" t="str">
        <f>VLOOKUP(B1402,辅助信息!E:J,6,FALSE)</f>
        <v>现场禁止使用氢能源挂车！优先威钢发货,我方卸车,新老国标钢厂不加价可直发，因陕钢多次出现磅差，项目拒绝使用</v>
      </c>
      <c r="M1402" s="91">
        <v>45784</v>
      </c>
      <c r="O1402" s="62">
        <f ca="1" t="shared" si="67"/>
        <v>0</v>
      </c>
      <c r="P1402" s="62">
        <f ca="1" t="shared" si="68"/>
        <v>176</v>
      </c>
      <c r="Q1402" s="29" t="str">
        <f>VLOOKUP(B1402,辅助信息!E:M,9,FALSE)</f>
        <v>ZTWM-CDGS-XS-2024-0030-华西集采-简州大道</v>
      </c>
      <c r="R1402" s="29" t="str">
        <f>_xlfn._xlws.FILTER(辅助信息!D:D,辅助信息!E:E=B1402)</f>
        <v>华西简阳西城嘉苑</v>
      </c>
    </row>
    <row r="1403" hidden="1" spans="2:18">
      <c r="B1403" s="40" t="s">
        <v>147</v>
      </c>
      <c r="C1403" s="70">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09" t="str">
        <f>VLOOKUP(B1403,辅助信息!E:J,6,FALSE)</f>
        <v>控制炉批号！多了现场不收！,优先安排达钢,提前联系到场规格及数量</v>
      </c>
      <c r="M1403" s="91">
        <v>45784</v>
      </c>
      <c r="O1403" s="62">
        <f ca="1" t="shared" si="67"/>
        <v>0</v>
      </c>
      <c r="P1403" s="62">
        <f ca="1" t="shared" si="68"/>
        <v>176</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0">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09" t="str">
        <f>VLOOKUP(B1404,辅助信息!E:J,6,FALSE)</f>
        <v>控制炉批号！多了现场不收！,优先安排达钢,提前联系到场规格及数量</v>
      </c>
      <c r="M1404" s="91">
        <v>45784</v>
      </c>
      <c r="O1404" s="62">
        <f ca="1" t="shared" si="67"/>
        <v>0</v>
      </c>
      <c r="P1404" s="62">
        <f ca="1" t="shared" si="68"/>
        <v>176</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0">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09" t="str">
        <f>VLOOKUP(B1405,辅助信息!E:J,6,FALSE)</f>
        <v>控制炉批号！多了现场不收！,优先安排达钢,提前联系到场规格及数量</v>
      </c>
      <c r="M1405" s="91">
        <v>45784</v>
      </c>
      <c r="O1405" s="62">
        <f ca="1" t="shared" si="67"/>
        <v>0</v>
      </c>
      <c r="P1405" s="62">
        <f ca="1" t="shared" si="68"/>
        <v>176</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0">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09" t="str">
        <f>VLOOKUP(B1406,辅助信息!E:J,6,FALSE)</f>
        <v>控制炉批号！多了现场不收！,优先安排达钢,提前联系到场规格及数量</v>
      </c>
      <c r="M1406" s="91">
        <v>45784</v>
      </c>
      <c r="O1406" s="62">
        <f ca="1" t="shared" si="67"/>
        <v>0</v>
      </c>
      <c r="P1406" s="62">
        <f ca="1" t="shared" si="68"/>
        <v>176</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0">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09" t="str">
        <f>VLOOKUP(B1407,辅助信息!E:J,6,FALSE)</f>
        <v>控制炉批号！多了现场不收！,优先安排达钢,提前联系到场规格及数量</v>
      </c>
      <c r="M1407" s="91">
        <v>45784</v>
      </c>
      <c r="O1407" s="62">
        <f ca="1" t="shared" si="67"/>
        <v>0</v>
      </c>
      <c r="P1407" s="62">
        <f ca="1" t="shared" si="68"/>
        <v>176</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0">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09" t="str">
        <f>VLOOKUP(B1408,辅助信息!E:J,6,FALSE)</f>
        <v>提前联系到场规格</v>
      </c>
      <c r="M1408" s="91">
        <v>45785</v>
      </c>
      <c r="O1408" s="62">
        <f ca="1" t="shared" ref="O1408:O1413" si="69">IF(OR(M1408="",N1408&lt;&gt;""),"",MAX(M1408-TODAY(),0))</f>
        <v>0</v>
      </c>
      <c r="P1408" s="62">
        <f ca="1" t="shared" ref="P1408:P1486" si="70">IF(M1408="","",IF(N1408&lt;&gt;"",MAX(N1408-M1408,0),IF(TODAY()&gt;M1408,TODAY()-M1408,0)))</f>
        <v>175</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0">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09" t="str">
        <f>VLOOKUP(B1409,辅助信息!E:J,6,FALSE)</f>
        <v>提前联系到场规格</v>
      </c>
      <c r="M1409" s="91">
        <v>45785</v>
      </c>
      <c r="O1409" s="62">
        <f ca="1" t="shared" si="69"/>
        <v>0</v>
      </c>
      <c r="P1409" s="62">
        <f ca="1" t="shared" si="70"/>
        <v>175</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0">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09" t="str">
        <f>VLOOKUP(B1410,辅助信息!E:J,6,FALSE)</f>
        <v>提前联系到场规格</v>
      </c>
      <c r="M1410" s="91">
        <v>45785</v>
      </c>
      <c r="O1410" s="62">
        <f ca="1" t="shared" si="69"/>
        <v>0</v>
      </c>
      <c r="P1410" s="62">
        <f ca="1" t="shared" si="70"/>
        <v>175</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0">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09" t="str">
        <f>VLOOKUP(B1411,辅助信息!E:J,6,FALSE)</f>
        <v>提前联系到场规格</v>
      </c>
      <c r="M1411" s="91">
        <v>45785</v>
      </c>
      <c r="O1411" s="62">
        <f ca="1" t="shared" si="69"/>
        <v>0</v>
      </c>
      <c r="P1411" s="62">
        <f ca="1" t="shared" si="70"/>
        <v>175</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0">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09" t="str">
        <f>VLOOKUP(B1412,辅助信息!E:J,6,FALSE)</f>
        <v>提前联系到场规格</v>
      </c>
      <c r="M1412" s="91">
        <v>45785</v>
      </c>
      <c r="O1412" s="62">
        <f ca="1" t="shared" si="69"/>
        <v>0</v>
      </c>
      <c r="P1412" s="62">
        <f ca="1" t="shared" si="70"/>
        <v>175</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0">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09" t="str">
        <f>VLOOKUP(B1413,辅助信息!E:J,6,FALSE)</f>
        <v>提前联系到场规格</v>
      </c>
      <c r="M1413" s="91">
        <v>45785</v>
      </c>
      <c r="O1413" s="62">
        <f ca="1" t="shared" si="69"/>
        <v>0</v>
      </c>
      <c r="P1413" s="62">
        <f ca="1" t="shared" si="70"/>
        <v>175</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7" t="s">
        <v>127</v>
      </c>
      <c r="C1414" s="70">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09" t="str">
        <f>VLOOKUP(B1414,辅助信息!E:J,6,FALSE)</f>
        <v>送货单：送货单位：南充思临新材料科技有限公司,收货单位：五冶集团川北(南充)建设有限公司,项目名称：南充医学科学产业园,送货车型13米,装货前联系收货人核实到场规格</v>
      </c>
      <c r="M1414" s="91">
        <v>45785</v>
      </c>
      <c r="O1414" s="62">
        <f ca="1" t="shared" ref="O1414:O1420" si="71">IF(OR(M1414="",N1414&lt;&gt;""),"",MAX(M1414-TODAY(),0))</f>
        <v>0</v>
      </c>
      <c r="P1414" s="62">
        <f ca="1" t="shared" si="70"/>
        <v>175</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7" t="s">
        <v>127</v>
      </c>
      <c r="C1415" s="70">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09" t="str">
        <f>VLOOKUP(B1415,辅助信息!E:J,6,FALSE)</f>
        <v>送货单：送货单位：南充思临新材料科技有限公司,收货单位：五冶集团川北(南充)建设有限公司,项目名称：南充医学科学产业园,送货车型13米,装货前联系收货人核实到场规格</v>
      </c>
      <c r="M1415" s="91">
        <v>45785</v>
      </c>
      <c r="O1415" s="62">
        <f ca="1" t="shared" si="71"/>
        <v>0</v>
      </c>
      <c r="P1415" s="62">
        <f ca="1" t="shared" si="70"/>
        <v>175</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7" t="s">
        <v>127</v>
      </c>
      <c r="C1416" s="70">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09" t="str">
        <f>VLOOKUP(B1416,辅助信息!E:J,6,FALSE)</f>
        <v>送货单：送货单位：南充思临新材料科技有限公司,收货单位：五冶集团川北(南充)建设有限公司,项目名称：南充医学科学产业园,送货车型13米,装货前联系收货人核实到场规格</v>
      </c>
      <c r="M1416" s="91">
        <v>45785</v>
      </c>
      <c r="O1416" s="62">
        <f ca="1" t="shared" si="71"/>
        <v>0</v>
      </c>
      <c r="P1416" s="62">
        <f ca="1" t="shared" si="70"/>
        <v>175</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7" t="s">
        <v>72</v>
      </c>
      <c r="C1417" s="70">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09" t="str">
        <f>VLOOKUP(B1417,辅助信息!E:J,6,FALSE)</f>
        <v>送货单：送货单位：南充思临新材料科技有限公司,收货单位：五冶集团川北(南充)建设有限公司,项目名称：南充医学科学产业园,送货车型13米,装货前联系收货人核实到场规格</v>
      </c>
      <c r="M1417" s="91">
        <v>45785</v>
      </c>
      <c r="O1417" s="62">
        <f ca="1" t="shared" si="71"/>
        <v>0</v>
      </c>
      <c r="P1417" s="62">
        <f ca="1" t="shared" si="70"/>
        <v>175</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7" t="s">
        <v>72</v>
      </c>
      <c r="C1418" s="70">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09" t="str">
        <f>VLOOKUP(B1418,辅助信息!E:J,6,FALSE)</f>
        <v>送货单：送货单位：南充思临新材料科技有限公司,收货单位：五冶集团川北(南充)建设有限公司,项目名称：南充医学科学产业园,送货车型13米,装货前联系收货人核实到场规格</v>
      </c>
      <c r="M1418" s="91">
        <v>45785</v>
      </c>
      <c r="O1418" s="62">
        <f ca="1" t="shared" si="71"/>
        <v>0</v>
      </c>
      <c r="P1418" s="62">
        <f ca="1" t="shared" si="70"/>
        <v>175</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7" t="s">
        <v>72</v>
      </c>
      <c r="C1419" s="70">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09" t="str">
        <f>VLOOKUP(B1419,辅助信息!E:J,6,FALSE)</f>
        <v>送货单：送货单位：南充思临新材料科技有限公司,收货单位：五冶集团川北(南充)建设有限公司,项目名称：南充医学科学产业园,送货车型13米,装货前联系收货人核实到场规格</v>
      </c>
      <c r="M1419" s="91">
        <v>45785</v>
      </c>
      <c r="O1419" s="62">
        <f ca="1" t="shared" si="71"/>
        <v>0</v>
      </c>
      <c r="P1419" s="62">
        <f ca="1" t="shared" si="70"/>
        <v>175</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7" t="s">
        <v>100</v>
      </c>
      <c r="B1420" s="40" t="s">
        <v>135</v>
      </c>
      <c r="C1420" s="70">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09" t="str">
        <f>VLOOKUP(B1420,辅助信息!E:J,6,FALSE)</f>
        <v>装货前联系收货人核实到场规格，货物最下面用方木垫下方便卸货</v>
      </c>
      <c r="M1420" s="91">
        <v>45785</v>
      </c>
      <c r="O1420" s="62">
        <f ca="1" t="shared" si="71"/>
        <v>0</v>
      </c>
      <c r="P1420" s="62">
        <f ca="1" t="shared" si="70"/>
        <v>175</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0">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09" t="str">
        <f>VLOOKUP(B1421,辅助信息!E:J,6,FALSE)</f>
        <v>现场禁止使用氢能源挂车！优先威钢发货,我方卸车,新老国标钢厂不加价可直发，因陕钢多次出现磅差，项目拒绝使用</v>
      </c>
      <c r="M1421" s="91">
        <v>45787</v>
      </c>
      <c r="O1421" s="62">
        <f ca="1" t="shared" ref="O1421:O1484" si="72">IF(OR(M1421="",N1421&lt;&gt;""),"",MAX(M1421-TODAY(),0))</f>
        <v>0</v>
      </c>
      <c r="P1421" s="62">
        <f ca="1" t="shared" ref="P1421:P1435" si="73">IF(M1421="","",IF(N1421&lt;&gt;"",MAX(N1421-M1421,0),IF(TODAY()&gt;M1421,TODAY()-M1421,0)))</f>
        <v>173</v>
      </c>
      <c r="Q1421" s="29" t="str">
        <f>VLOOKUP(B1421,辅助信息!E:M,9,FALSE)</f>
        <v>ZTWM-CDGS-XS-2024-0030-华西集采-简州大道</v>
      </c>
      <c r="R1421" s="29" t="str">
        <f>_xlfn._xlws.FILTER(辅助信息!D:D,辅助信息!E:E=B1421)</f>
        <v>华西简阳西城嘉苑</v>
      </c>
    </row>
    <row r="1422" hidden="1" spans="2:18">
      <c r="B1422" s="40" t="s">
        <v>81</v>
      </c>
      <c r="C1422" s="70">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09" t="str">
        <f>VLOOKUP(B1422,辅助信息!E:J,6,FALSE)</f>
        <v>现场禁止使用氢能源挂车！优先威钢发货,我方卸车,新老国标钢厂不加价可直发，因陕钢多次出现磅差，项目拒绝使用</v>
      </c>
      <c r="M1422" s="91">
        <v>45787</v>
      </c>
      <c r="O1422" s="62">
        <f ca="1" t="shared" si="72"/>
        <v>0</v>
      </c>
      <c r="P1422" s="62">
        <f ca="1" t="shared" si="73"/>
        <v>173</v>
      </c>
      <c r="Q1422" s="29" t="str">
        <f>VLOOKUP(B1422,辅助信息!E:M,9,FALSE)</f>
        <v>ZTWM-CDGS-XS-2024-0030-华西集采-简州大道</v>
      </c>
      <c r="R1422" s="29" t="str">
        <f>_xlfn._xlws.FILTER(辅助信息!D:D,辅助信息!E:E=B1422)</f>
        <v>华西简阳西城嘉苑</v>
      </c>
    </row>
    <row r="1423" hidden="1" spans="2:18">
      <c r="B1423" s="40" t="s">
        <v>81</v>
      </c>
      <c r="C1423" s="70">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09" t="str">
        <f>VLOOKUP(B1423,辅助信息!E:J,6,FALSE)</f>
        <v>现场禁止使用氢能源挂车！优先威钢发货,我方卸车,新老国标钢厂不加价可直发，因陕钢多次出现磅差，项目拒绝使用</v>
      </c>
      <c r="M1423" s="91">
        <v>45787</v>
      </c>
      <c r="O1423" s="62">
        <f ca="1" t="shared" si="72"/>
        <v>0</v>
      </c>
      <c r="P1423" s="62">
        <f ca="1" t="shared" si="73"/>
        <v>173</v>
      </c>
      <c r="Q1423" s="29" t="str">
        <f>VLOOKUP(B1423,辅助信息!E:M,9,FALSE)</f>
        <v>ZTWM-CDGS-XS-2024-0030-华西集采-简州大道</v>
      </c>
      <c r="R1423" s="29" t="str">
        <f>_xlfn._xlws.FILTER(辅助信息!D:D,辅助信息!E:E=B1423)</f>
        <v>华西简阳西城嘉苑</v>
      </c>
    </row>
    <row r="1424" hidden="1" spans="2:18">
      <c r="B1424" s="40" t="s">
        <v>81</v>
      </c>
      <c r="C1424" s="70">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09" t="str">
        <f>VLOOKUP(B1424,辅助信息!E:J,6,FALSE)</f>
        <v>现场禁止使用氢能源挂车！优先威钢发货,我方卸车,新老国标钢厂不加价可直发，因陕钢多次出现磅差，项目拒绝使用</v>
      </c>
      <c r="M1424" s="91">
        <v>45787</v>
      </c>
      <c r="O1424" s="62">
        <f ca="1" t="shared" si="72"/>
        <v>0</v>
      </c>
      <c r="P1424" s="62">
        <f ca="1" t="shared" si="73"/>
        <v>173</v>
      </c>
      <c r="Q1424" s="29" t="str">
        <f>VLOOKUP(B1424,辅助信息!E:M,9,FALSE)</f>
        <v>ZTWM-CDGS-XS-2024-0030-华西集采-简州大道</v>
      </c>
      <c r="R1424" s="29" t="str">
        <f>_xlfn._xlws.FILTER(辅助信息!D:D,辅助信息!E:E=B1424)</f>
        <v>华西简阳西城嘉苑</v>
      </c>
    </row>
    <row r="1425" hidden="1" spans="2:18">
      <c r="B1425" s="40" t="s">
        <v>81</v>
      </c>
      <c r="C1425" s="70">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09" t="str">
        <f>VLOOKUP(B1425,辅助信息!E:J,6,FALSE)</f>
        <v>现场禁止使用氢能源挂车！优先威钢发货,我方卸车,新老国标钢厂不加价可直发，因陕钢多次出现磅差，项目拒绝使用</v>
      </c>
      <c r="M1425" s="91">
        <v>45787</v>
      </c>
      <c r="O1425" s="62">
        <f ca="1" t="shared" si="72"/>
        <v>0</v>
      </c>
      <c r="P1425" s="62">
        <f ca="1" t="shared" si="73"/>
        <v>173</v>
      </c>
      <c r="Q1425" s="29" t="str">
        <f>VLOOKUP(B1425,辅助信息!E:M,9,FALSE)</f>
        <v>ZTWM-CDGS-XS-2024-0030-华西集采-简州大道</v>
      </c>
      <c r="R1425" s="29" t="str">
        <f>_xlfn._xlws.FILTER(辅助信息!D:D,辅助信息!E:E=B1425)</f>
        <v>华西简阳西城嘉苑</v>
      </c>
    </row>
    <row r="1426" hidden="1" spans="2:18">
      <c r="B1426" s="40" t="s">
        <v>81</v>
      </c>
      <c r="C1426" s="70">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09" t="str">
        <f>VLOOKUP(B1426,辅助信息!E:J,6,FALSE)</f>
        <v>现场禁止使用氢能源挂车！优先威钢发货,我方卸车,新老国标钢厂不加价可直发，因陕钢多次出现磅差，项目拒绝使用</v>
      </c>
      <c r="M1426" s="91">
        <v>45787</v>
      </c>
      <c r="O1426" s="62">
        <f ca="1" t="shared" si="72"/>
        <v>0</v>
      </c>
      <c r="P1426" s="62">
        <f ca="1" t="shared" si="73"/>
        <v>173</v>
      </c>
      <c r="Q1426" s="29" t="str">
        <f>VLOOKUP(B1426,辅助信息!E:M,9,FALSE)</f>
        <v>ZTWM-CDGS-XS-2024-0030-华西集采-简州大道</v>
      </c>
      <c r="R1426" s="29" t="str">
        <f>_xlfn._xlws.FILTER(辅助信息!D:D,辅助信息!E:E=B1426)</f>
        <v>华西简阳西城嘉苑</v>
      </c>
    </row>
    <row r="1427" hidden="1" spans="2:18">
      <c r="B1427" s="40" t="s">
        <v>81</v>
      </c>
      <c r="C1427" s="70">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09" t="str">
        <f>VLOOKUP(B1427,辅助信息!E:J,6,FALSE)</f>
        <v>现场禁止使用氢能源挂车！优先威钢发货,我方卸车,新老国标钢厂不加价可直发，因陕钢多次出现磅差，项目拒绝使用</v>
      </c>
      <c r="M1427" s="91">
        <v>45787</v>
      </c>
      <c r="O1427" s="62">
        <f ca="1" t="shared" si="72"/>
        <v>0</v>
      </c>
      <c r="P1427" s="62">
        <f ca="1" t="shared" si="73"/>
        <v>173</v>
      </c>
      <c r="Q1427" s="29" t="str">
        <f>VLOOKUP(B1427,辅助信息!E:M,9,FALSE)</f>
        <v>ZTWM-CDGS-XS-2024-0030-华西集采-简州大道</v>
      </c>
      <c r="R1427" s="29" t="str">
        <f>_xlfn._xlws.FILTER(辅助信息!D:D,辅助信息!E:E=B1427)</f>
        <v>华西简阳西城嘉苑</v>
      </c>
    </row>
    <row r="1428" hidden="1" spans="2:18">
      <c r="B1428" s="40" t="s">
        <v>81</v>
      </c>
      <c r="C1428" s="70">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09" t="str">
        <f>VLOOKUP(B1428,辅助信息!E:J,6,FALSE)</f>
        <v>现场禁止使用氢能源挂车！优先威钢发货,我方卸车,新老国标钢厂不加价可直发，因陕钢多次出现磅差，项目拒绝使用</v>
      </c>
      <c r="M1428" s="91">
        <v>45787</v>
      </c>
      <c r="O1428" s="62">
        <f ca="1" t="shared" si="72"/>
        <v>0</v>
      </c>
      <c r="P1428" s="62">
        <f ca="1" t="shared" si="73"/>
        <v>173</v>
      </c>
      <c r="Q1428" s="29" t="str">
        <f>VLOOKUP(B1428,辅助信息!E:M,9,FALSE)</f>
        <v>ZTWM-CDGS-XS-2024-0030-华西集采-简州大道</v>
      </c>
      <c r="R1428" s="29" t="str">
        <f>_xlfn._xlws.FILTER(辅助信息!D:D,辅助信息!E:E=B1428)</f>
        <v>华西简阳西城嘉苑</v>
      </c>
    </row>
    <row r="1429" hidden="1" spans="2:18">
      <c r="B1429" s="40" t="s">
        <v>81</v>
      </c>
      <c r="C1429" s="70">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09" t="str">
        <f>VLOOKUP(B1429,辅助信息!E:J,6,FALSE)</f>
        <v>现场禁止使用氢能源挂车！优先威钢发货,我方卸车,新老国标钢厂不加价可直发，因陕钢多次出现磅差，项目拒绝使用</v>
      </c>
      <c r="M1429" s="91">
        <v>45787</v>
      </c>
      <c r="O1429" s="62">
        <f ca="1" t="shared" si="72"/>
        <v>0</v>
      </c>
      <c r="P1429" s="62">
        <f ca="1" t="shared" si="73"/>
        <v>173</v>
      </c>
      <c r="Q1429" s="29" t="str">
        <f>VLOOKUP(B1429,辅助信息!E:M,9,FALSE)</f>
        <v>ZTWM-CDGS-XS-2024-0030-华西集采-简州大道</v>
      </c>
      <c r="R1429" s="29" t="str">
        <f>_xlfn._xlws.FILTER(辅助信息!D:D,辅助信息!E:E=B1429)</f>
        <v>华西简阳西城嘉苑</v>
      </c>
    </row>
    <row r="1430" hidden="1" spans="2:18">
      <c r="B1430" s="40" t="s">
        <v>81</v>
      </c>
      <c r="C1430" s="70">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09" t="str">
        <f>VLOOKUP(B1430,辅助信息!E:J,6,FALSE)</f>
        <v>现场禁止使用氢能源挂车！优先威钢发货,我方卸车,新老国标钢厂不加价可直发，因陕钢多次出现磅差，项目拒绝使用</v>
      </c>
      <c r="M1430" s="91">
        <v>45787</v>
      </c>
      <c r="O1430" s="62">
        <f ca="1" t="shared" si="72"/>
        <v>0</v>
      </c>
      <c r="P1430" s="62">
        <f ca="1" t="shared" si="73"/>
        <v>173</v>
      </c>
      <c r="Q1430" s="29" t="str">
        <f>VLOOKUP(B1430,辅助信息!E:M,9,FALSE)</f>
        <v>ZTWM-CDGS-XS-2024-0030-华西集采-简州大道</v>
      </c>
      <c r="R1430" s="29" t="str">
        <f>_xlfn._xlws.FILTER(辅助信息!D:D,辅助信息!E:E=B1430)</f>
        <v>华西简阳西城嘉苑</v>
      </c>
    </row>
    <row r="1431" hidden="1" spans="2:18">
      <c r="B1431" s="40" t="s">
        <v>81</v>
      </c>
      <c r="C1431" s="70">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09" t="str">
        <f>VLOOKUP(B1431,辅助信息!E:J,6,FALSE)</f>
        <v>现场禁止使用氢能源挂车！优先威钢发货,我方卸车,新老国标钢厂不加价可直发，因陕钢多次出现磅差，项目拒绝使用</v>
      </c>
      <c r="M1431" s="91">
        <v>45787</v>
      </c>
      <c r="O1431" s="62">
        <f ca="1" t="shared" si="72"/>
        <v>0</v>
      </c>
      <c r="P1431" s="62">
        <f ca="1" t="shared" si="73"/>
        <v>173</v>
      </c>
      <c r="Q1431" s="29" t="str">
        <f>VLOOKUP(B1431,辅助信息!E:M,9,FALSE)</f>
        <v>ZTWM-CDGS-XS-2024-0030-华西集采-简州大道</v>
      </c>
      <c r="R1431" s="29" t="str">
        <f>_xlfn._xlws.FILTER(辅助信息!D:D,辅助信息!E:E=B1431)</f>
        <v>华西简阳西城嘉苑</v>
      </c>
    </row>
    <row r="1432" hidden="1" spans="2:18">
      <c r="B1432" s="40" t="s">
        <v>81</v>
      </c>
      <c r="C1432" s="70">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09" t="str">
        <f>VLOOKUP(B1432,辅助信息!E:J,6,FALSE)</f>
        <v>现场禁止使用氢能源挂车！优先威钢发货,我方卸车,新老国标钢厂不加价可直发，因陕钢多次出现磅差，项目拒绝使用</v>
      </c>
      <c r="M1432" s="91">
        <v>45787</v>
      </c>
      <c r="O1432" s="62">
        <f ca="1" t="shared" si="72"/>
        <v>0</v>
      </c>
      <c r="P1432" s="62">
        <f ca="1" t="shared" si="73"/>
        <v>173</v>
      </c>
      <c r="Q1432" s="29" t="str">
        <f>VLOOKUP(B1432,辅助信息!E:M,9,FALSE)</f>
        <v>ZTWM-CDGS-XS-2024-0030-华西集采-简州大道</v>
      </c>
      <c r="R1432" s="29" t="str">
        <f>_xlfn._xlws.FILTER(辅助信息!D:D,辅助信息!E:E=B1432)</f>
        <v>华西简阳西城嘉苑</v>
      </c>
    </row>
    <row r="1433" hidden="1" spans="2:18">
      <c r="B1433" s="40" t="s">
        <v>81</v>
      </c>
      <c r="C1433" s="70">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09" t="str">
        <f>VLOOKUP(B1433,辅助信息!E:J,6,FALSE)</f>
        <v>现场禁止使用氢能源挂车！优先威钢发货,我方卸车,新老国标钢厂不加价可直发，因陕钢多次出现磅差，项目拒绝使用</v>
      </c>
      <c r="M1433" s="91">
        <v>45787</v>
      </c>
      <c r="O1433" s="62">
        <f ca="1" t="shared" si="72"/>
        <v>0</v>
      </c>
      <c r="P1433" s="62">
        <f ca="1" t="shared" si="73"/>
        <v>173</v>
      </c>
      <c r="Q1433" s="29" t="str">
        <f>VLOOKUP(B1433,辅助信息!E:M,9,FALSE)</f>
        <v>ZTWM-CDGS-XS-2024-0030-华西集采-简州大道</v>
      </c>
      <c r="R1433" s="29" t="str">
        <f>_xlfn._xlws.FILTER(辅助信息!D:D,辅助信息!E:E=B1433)</f>
        <v>华西简阳西城嘉苑</v>
      </c>
    </row>
    <row r="1434" hidden="1" spans="2:18">
      <c r="B1434" s="40" t="s">
        <v>81</v>
      </c>
      <c r="C1434" s="70">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09" t="str">
        <f>VLOOKUP(B1434,辅助信息!E:J,6,FALSE)</f>
        <v>现场禁止使用氢能源挂车！优先威钢发货,我方卸车,新老国标钢厂不加价可直发，因陕钢多次出现磅差，项目拒绝使用</v>
      </c>
      <c r="M1434" s="91">
        <v>45787</v>
      </c>
      <c r="O1434" s="62">
        <f ca="1" t="shared" si="72"/>
        <v>0</v>
      </c>
      <c r="P1434" s="62">
        <f ca="1" t="shared" si="73"/>
        <v>173</v>
      </c>
      <c r="Q1434" s="29" t="str">
        <f>VLOOKUP(B1434,辅助信息!E:M,9,FALSE)</f>
        <v>ZTWM-CDGS-XS-2024-0030-华西集采-简州大道</v>
      </c>
      <c r="R1434" s="29" t="str">
        <f>_xlfn._xlws.FILTER(辅助信息!D:D,辅助信息!E:E=B1434)</f>
        <v>华西简阳西城嘉苑</v>
      </c>
    </row>
    <row r="1435" hidden="1" spans="2:18">
      <c r="B1435" s="40" t="s">
        <v>31</v>
      </c>
      <c r="C1435" s="70">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09" t="str">
        <f>VLOOKUP(B1435,辅助信息!E:J,6,FALSE)</f>
        <v>提前联系到场规格及数量</v>
      </c>
      <c r="M1435" s="91">
        <v>45787</v>
      </c>
      <c r="O1435" s="62">
        <f ca="1" t="shared" si="72"/>
        <v>0</v>
      </c>
      <c r="P1435" s="62">
        <f ca="1" t="shared" si="73"/>
        <v>173</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0">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09" t="str">
        <f>VLOOKUP(B1436,辅助信息!E:J,6,FALSE)</f>
        <v>现场禁止使用氢能源挂车！优先威钢发货,我方卸车,新老国标钢厂不加价可直发，因陕钢多次出现磅差，项目拒绝使用</v>
      </c>
      <c r="M1436" s="91">
        <v>45784</v>
      </c>
      <c r="O1436" s="62">
        <f ca="1" t="shared" si="72"/>
        <v>0</v>
      </c>
      <c r="P1436" s="62">
        <f ca="1" t="shared" si="70"/>
        <v>176</v>
      </c>
      <c r="Q1436" s="29" t="str">
        <f>VLOOKUP(B1436,辅助信息!E:M,9,FALSE)</f>
        <v>ZTWM-CDGS-XS-2024-0030-华西集采-简州大道</v>
      </c>
      <c r="R1436" s="29" t="str">
        <f>_xlfn._xlws.FILTER(辅助信息!D:D,辅助信息!E:E=B1436)</f>
        <v>华西简阳西城嘉苑</v>
      </c>
    </row>
    <row r="1437" hidden="1" spans="2:18">
      <c r="B1437" s="40" t="s">
        <v>147</v>
      </c>
      <c r="C1437" s="70">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09" t="str">
        <f>VLOOKUP(B1437,辅助信息!E:J,6,FALSE)</f>
        <v>控制炉批号！多了现场不收！,优先安排达钢,提前联系到场规格及数量</v>
      </c>
      <c r="M1437" s="91">
        <v>45784</v>
      </c>
      <c r="O1437" s="62">
        <f ca="1" t="shared" si="72"/>
        <v>0</v>
      </c>
      <c r="P1437" s="62">
        <f ca="1" t="shared" si="70"/>
        <v>176</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0">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09" t="str">
        <f>VLOOKUP(B1438,辅助信息!E:J,6,FALSE)</f>
        <v>控制炉批号！多了现场不收！,优先安排达钢,提前联系到场规格及数量</v>
      </c>
      <c r="M1438" s="91">
        <v>45784</v>
      </c>
      <c r="O1438" s="62">
        <f ca="1" t="shared" si="72"/>
        <v>0</v>
      </c>
      <c r="P1438" s="62">
        <f ca="1" t="shared" si="70"/>
        <v>176</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0">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09" t="str">
        <f>VLOOKUP(B1439,辅助信息!E:J,6,FALSE)</f>
        <v>控制炉批号！多了现场不收！,优先安排达钢,提前联系到场规格及数量</v>
      </c>
      <c r="M1439" s="91">
        <v>45784</v>
      </c>
      <c r="O1439" s="62">
        <f ca="1" t="shared" si="72"/>
        <v>0</v>
      </c>
      <c r="P1439" s="62">
        <f ca="1" t="shared" si="70"/>
        <v>176</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0">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09" t="str">
        <f>VLOOKUP(B1440,辅助信息!E:J,6,FALSE)</f>
        <v>提前联系到场规格</v>
      </c>
      <c r="M1440" s="91">
        <v>45785</v>
      </c>
      <c r="O1440" s="62">
        <f ca="1" t="shared" si="72"/>
        <v>0</v>
      </c>
      <c r="P1440" s="62">
        <f ca="1" t="shared" si="70"/>
        <v>175</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0">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09" t="str">
        <f>VLOOKUP(B1441,辅助信息!E:J,6,FALSE)</f>
        <v>提前联系到场规格</v>
      </c>
      <c r="M1441" s="91">
        <v>45785</v>
      </c>
      <c r="O1441" s="62">
        <f ca="1" t="shared" si="72"/>
        <v>0</v>
      </c>
      <c r="P1441" s="62">
        <f ca="1" t="shared" si="70"/>
        <v>175</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0">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09" t="str">
        <f>VLOOKUP(B1442,辅助信息!E:J,6,FALSE)</f>
        <v>提前联系到场规格</v>
      </c>
      <c r="M1442" s="91">
        <v>45785</v>
      </c>
      <c r="O1442" s="62">
        <f ca="1" t="shared" si="72"/>
        <v>0</v>
      </c>
      <c r="P1442" s="62">
        <f ca="1" t="shared" si="70"/>
        <v>175</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0">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09" t="str">
        <f>VLOOKUP(B1443,辅助信息!E:J,6,FALSE)</f>
        <v>提前联系到场规格</v>
      </c>
      <c r="M1443" s="91">
        <v>45785</v>
      </c>
      <c r="O1443" s="62">
        <f ca="1" t="shared" si="72"/>
        <v>0</v>
      </c>
      <c r="P1443" s="62">
        <f ca="1" t="shared" si="70"/>
        <v>175</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0">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09" t="str">
        <f>VLOOKUP(B1444,辅助信息!E:J,6,FALSE)</f>
        <v>提前联系到场规格</v>
      </c>
      <c r="M1444" s="91">
        <v>45785</v>
      </c>
      <c r="O1444" s="62">
        <f ca="1" t="shared" si="72"/>
        <v>0</v>
      </c>
      <c r="P1444" s="62">
        <f ca="1" t="shared" si="70"/>
        <v>175</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0">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09" t="str">
        <f>VLOOKUP(B1445,辅助信息!E:J,6,FALSE)</f>
        <v>送货单：送货单位：南充思临新材料科技有限公司,收货单位：五冶集团川北(南充)建设有限公司,项目名称：南充医学科学产业园,送货车型13米,装货前联系收货人核实到场规格</v>
      </c>
      <c r="M1445" s="91">
        <v>45785</v>
      </c>
      <c r="O1445" s="62">
        <f ca="1" t="shared" si="72"/>
        <v>0</v>
      </c>
      <c r="P1445" s="62">
        <f ca="1" t="shared" si="70"/>
        <v>175</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0">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09" t="str">
        <f>VLOOKUP(B1446,辅助信息!E:J,6,FALSE)</f>
        <v>送货单：送货单位：南充思临新材料科技有限公司,收货单位：五冶集团川北(南充)建设有限公司,项目名称：南充医学科学产业园,送货车型13米,装货前联系收货人核实到场规格</v>
      </c>
      <c r="M1446" s="91">
        <v>45785</v>
      </c>
      <c r="O1446" s="62">
        <f ca="1" t="shared" si="72"/>
        <v>0</v>
      </c>
      <c r="P1446" s="62">
        <f ca="1" t="shared" si="70"/>
        <v>175</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0">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09" t="str">
        <f>VLOOKUP(B1447,辅助信息!E:J,6,FALSE)</f>
        <v>送货单：送货单位：南充思临新材料科技有限公司,收货单位：五冶集团川北(南充)建设有限公司,项目名称：南充医学科学产业园,送货车型13米,装货前联系收货人核实到场规格</v>
      </c>
      <c r="M1447" s="91">
        <v>45785</v>
      </c>
      <c r="O1447" s="62">
        <f ca="1" t="shared" si="72"/>
        <v>0</v>
      </c>
      <c r="P1447" s="62">
        <f ca="1" t="shared" si="70"/>
        <v>175</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0">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09" t="str">
        <f>VLOOKUP(B1448,辅助信息!E:J,6,FALSE)</f>
        <v>送货单：送货单位：南充思临新材料科技有限公司,收货单位：五冶集团川北(南充)建设有限公司,项目名称：南充医学科学产业园,送货车型13米,装货前联系收货人核实到场规格</v>
      </c>
      <c r="M1448" s="91">
        <v>45785</v>
      </c>
      <c r="O1448" s="62">
        <f ca="1" t="shared" si="72"/>
        <v>0</v>
      </c>
      <c r="P1448" s="62">
        <f ca="1" t="shared" si="70"/>
        <v>175</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0">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09" t="str">
        <f>VLOOKUP(B1449,辅助信息!E:J,6,FALSE)</f>
        <v>送货单：送货单位：南充思临新材料科技有限公司,收货单位：五冶集团川北(南充)建设有限公司,项目名称：南充医学科学产业园,送货车型13米,装货前联系收货人核实到场规格</v>
      </c>
      <c r="M1449" s="91">
        <v>45785</v>
      </c>
      <c r="O1449" s="62">
        <f ca="1" t="shared" si="72"/>
        <v>0</v>
      </c>
      <c r="P1449" s="62">
        <f ca="1" t="shared" si="70"/>
        <v>175</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0">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09" t="str">
        <f>VLOOKUP(B1450,辅助信息!E:J,6,FALSE)</f>
        <v>送货单：送货单位：南充思临新材料科技有限公司,收货单位：五冶集团川北(南充)建设有限公司,项目名称：南充医学科学产业园,送货车型13米,装货前联系收货人核实到场规格</v>
      </c>
      <c r="M1450" s="91">
        <v>45785</v>
      </c>
      <c r="O1450" s="62">
        <f ca="1" t="shared" si="72"/>
        <v>0</v>
      </c>
      <c r="P1450" s="62">
        <f ca="1" t="shared" si="70"/>
        <v>175</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1" t="s">
        <v>100</v>
      </c>
      <c r="B1451" s="40" t="s">
        <v>135</v>
      </c>
      <c r="C1451" s="70">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09" t="str">
        <f>VLOOKUP(B1451,辅助信息!E:J,6,FALSE)</f>
        <v>装货前联系收货人核实到场规格，货物最下面用方木垫下方便卸货</v>
      </c>
      <c r="M1451" s="91">
        <v>45785</v>
      </c>
      <c r="O1451" s="62">
        <f ca="1" t="shared" si="72"/>
        <v>0</v>
      </c>
      <c r="P1451" s="62">
        <f ca="1" t="shared" si="70"/>
        <v>175</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0">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09" t="str">
        <f>VLOOKUP(B1452,辅助信息!E:J,6,FALSE)</f>
        <v>现场禁止使用氢能源挂车！优先威钢发货,我方卸车,新老国标钢厂不加价可直发，因陕钢多次出现磅差，项目拒绝使用</v>
      </c>
      <c r="M1452" s="91">
        <v>45787</v>
      </c>
      <c r="O1452" s="62">
        <f ca="1" t="shared" si="72"/>
        <v>0</v>
      </c>
      <c r="P1452" s="62">
        <f ca="1" t="shared" si="70"/>
        <v>173</v>
      </c>
      <c r="Q1452" s="29" t="str">
        <f>VLOOKUP(B1452,辅助信息!E:M,9,FALSE)</f>
        <v>ZTWM-CDGS-XS-2024-0030-华西集采-简州大道</v>
      </c>
      <c r="R1452" s="29" t="str">
        <f>_xlfn._xlws.FILTER(辅助信息!D:D,辅助信息!E:E=B1452)</f>
        <v>华西简阳西城嘉苑</v>
      </c>
    </row>
    <row r="1453" hidden="1" spans="2:18">
      <c r="B1453" s="40" t="s">
        <v>81</v>
      </c>
      <c r="C1453" s="70">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09" t="str">
        <f>VLOOKUP(B1453,辅助信息!E:J,6,FALSE)</f>
        <v>现场禁止使用氢能源挂车！优先威钢发货,我方卸车,新老国标钢厂不加价可直发，因陕钢多次出现磅差，项目拒绝使用</v>
      </c>
      <c r="M1453" s="91">
        <v>45787</v>
      </c>
      <c r="O1453" s="62">
        <f ca="1" t="shared" si="72"/>
        <v>0</v>
      </c>
      <c r="P1453" s="62">
        <f ca="1" t="shared" si="70"/>
        <v>173</v>
      </c>
      <c r="Q1453" s="29" t="str">
        <f>VLOOKUP(B1453,辅助信息!E:M,9,FALSE)</f>
        <v>ZTWM-CDGS-XS-2024-0030-华西集采-简州大道</v>
      </c>
      <c r="R1453" s="29" t="str">
        <f>_xlfn._xlws.FILTER(辅助信息!D:D,辅助信息!E:E=B1453)</f>
        <v>华西简阳西城嘉苑</v>
      </c>
    </row>
    <row r="1454" hidden="1" spans="2:18">
      <c r="B1454" s="40" t="s">
        <v>81</v>
      </c>
      <c r="C1454" s="70">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09" t="str">
        <f>VLOOKUP(B1454,辅助信息!E:J,6,FALSE)</f>
        <v>现场禁止使用氢能源挂车！优先威钢发货,我方卸车,新老国标钢厂不加价可直发，因陕钢多次出现磅差，项目拒绝使用</v>
      </c>
      <c r="M1454" s="91">
        <v>45787</v>
      </c>
      <c r="O1454" s="62">
        <f ca="1" t="shared" si="72"/>
        <v>0</v>
      </c>
      <c r="P1454" s="62">
        <f ca="1" t="shared" si="70"/>
        <v>173</v>
      </c>
      <c r="Q1454" s="29" t="str">
        <f>VLOOKUP(B1454,辅助信息!E:M,9,FALSE)</f>
        <v>ZTWM-CDGS-XS-2024-0030-华西集采-简州大道</v>
      </c>
      <c r="R1454" s="29" t="str">
        <f>_xlfn._xlws.FILTER(辅助信息!D:D,辅助信息!E:E=B1454)</f>
        <v>华西简阳西城嘉苑</v>
      </c>
    </row>
    <row r="1455" hidden="1" spans="2:18">
      <c r="B1455" s="40" t="s">
        <v>81</v>
      </c>
      <c r="C1455" s="70">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09" t="str">
        <f>VLOOKUP(B1455,辅助信息!E:J,6,FALSE)</f>
        <v>现场禁止使用氢能源挂车！优先威钢发货,我方卸车,新老国标钢厂不加价可直发，因陕钢多次出现磅差，项目拒绝使用</v>
      </c>
      <c r="M1455" s="91">
        <v>45787</v>
      </c>
      <c r="O1455" s="62">
        <f ca="1" t="shared" si="72"/>
        <v>0</v>
      </c>
      <c r="P1455" s="62">
        <f ca="1" t="shared" si="70"/>
        <v>173</v>
      </c>
      <c r="Q1455" s="29" t="str">
        <f>VLOOKUP(B1455,辅助信息!E:M,9,FALSE)</f>
        <v>ZTWM-CDGS-XS-2024-0030-华西集采-简州大道</v>
      </c>
      <c r="R1455" s="29" t="str">
        <f>_xlfn._xlws.FILTER(辅助信息!D:D,辅助信息!E:E=B1455)</f>
        <v>华西简阳西城嘉苑</v>
      </c>
    </row>
    <row r="1456" hidden="1" spans="2:18">
      <c r="B1456" s="40" t="s">
        <v>81</v>
      </c>
      <c r="C1456" s="70">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09" t="str">
        <f>VLOOKUP(B1456,辅助信息!E:J,6,FALSE)</f>
        <v>现场禁止使用氢能源挂车！优先威钢发货,我方卸车,新老国标钢厂不加价可直发，因陕钢多次出现磅差，项目拒绝使用</v>
      </c>
      <c r="M1456" s="91">
        <v>45787</v>
      </c>
      <c r="O1456" s="62">
        <f ca="1" t="shared" si="72"/>
        <v>0</v>
      </c>
      <c r="P1456" s="62">
        <f ca="1" t="shared" si="70"/>
        <v>173</v>
      </c>
      <c r="Q1456" s="29" t="str">
        <f>VLOOKUP(B1456,辅助信息!E:M,9,FALSE)</f>
        <v>ZTWM-CDGS-XS-2024-0030-华西集采-简州大道</v>
      </c>
      <c r="R1456" s="29" t="str">
        <f>_xlfn._xlws.FILTER(辅助信息!D:D,辅助信息!E:E=B1456)</f>
        <v>华西简阳西城嘉苑</v>
      </c>
    </row>
    <row r="1457" hidden="1" spans="2:18">
      <c r="B1457" s="40" t="s">
        <v>81</v>
      </c>
      <c r="C1457" s="70">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09" t="str">
        <f>VLOOKUP(B1457,辅助信息!E:J,6,FALSE)</f>
        <v>现场禁止使用氢能源挂车！优先威钢发货,我方卸车,新老国标钢厂不加价可直发，因陕钢多次出现磅差，项目拒绝使用</v>
      </c>
      <c r="M1457" s="91">
        <v>45787</v>
      </c>
      <c r="O1457" s="62">
        <f ca="1" t="shared" si="72"/>
        <v>0</v>
      </c>
      <c r="P1457" s="62">
        <f ca="1" t="shared" si="70"/>
        <v>173</v>
      </c>
      <c r="Q1457" s="29" t="str">
        <f>VLOOKUP(B1457,辅助信息!E:M,9,FALSE)</f>
        <v>ZTWM-CDGS-XS-2024-0030-华西集采-简州大道</v>
      </c>
      <c r="R1457" s="29" t="str">
        <f>_xlfn._xlws.FILTER(辅助信息!D:D,辅助信息!E:E=B1457)</f>
        <v>华西简阳西城嘉苑</v>
      </c>
    </row>
    <row r="1458" hidden="1" spans="2:18">
      <c r="B1458" s="40" t="s">
        <v>81</v>
      </c>
      <c r="C1458" s="70">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09" t="str">
        <f>VLOOKUP(B1458,辅助信息!E:J,6,FALSE)</f>
        <v>现场禁止使用氢能源挂车！优先威钢发货,我方卸车,新老国标钢厂不加价可直发，因陕钢多次出现磅差，项目拒绝使用</v>
      </c>
      <c r="M1458" s="91">
        <v>45787</v>
      </c>
      <c r="O1458" s="62">
        <f ca="1" t="shared" si="72"/>
        <v>0</v>
      </c>
      <c r="P1458" s="62">
        <f ca="1" t="shared" si="70"/>
        <v>173</v>
      </c>
      <c r="Q1458" s="29" t="str">
        <f>VLOOKUP(B1458,辅助信息!E:M,9,FALSE)</f>
        <v>ZTWM-CDGS-XS-2024-0030-华西集采-简州大道</v>
      </c>
      <c r="R1458" s="29" t="str">
        <f>_xlfn._xlws.FILTER(辅助信息!D:D,辅助信息!E:E=B1458)</f>
        <v>华西简阳西城嘉苑</v>
      </c>
    </row>
    <row r="1459" hidden="1" spans="2:18">
      <c r="B1459" s="40" t="s">
        <v>81</v>
      </c>
      <c r="C1459" s="70">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09" t="str">
        <f>VLOOKUP(B1459,辅助信息!E:J,6,FALSE)</f>
        <v>现场禁止使用氢能源挂车！优先威钢发货,我方卸车,新老国标钢厂不加价可直发，因陕钢多次出现磅差，项目拒绝使用</v>
      </c>
      <c r="M1459" s="91">
        <v>45787</v>
      </c>
      <c r="O1459" s="62">
        <f ca="1" t="shared" si="72"/>
        <v>0</v>
      </c>
      <c r="P1459" s="62">
        <f ca="1" t="shared" si="70"/>
        <v>173</v>
      </c>
      <c r="Q1459" s="29" t="str">
        <f>VLOOKUP(B1459,辅助信息!E:M,9,FALSE)</f>
        <v>ZTWM-CDGS-XS-2024-0030-华西集采-简州大道</v>
      </c>
      <c r="R1459" s="29" t="str">
        <f>_xlfn._xlws.FILTER(辅助信息!D:D,辅助信息!E:E=B1459)</f>
        <v>华西简阳西城嘉苑</v>
      </c>
    </row>
    <row r="1460" hidden="1" spans="2:18">
      <c r="B1460" s="40" t="s">
        <v>81</v>
      </c>
      <c r="C1460" s="70">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09" t="str">
        <f>VLOOKUP(B1460,辅助信息!E:J,6,FALSE)</f>
        <v>现场禁止使用氢能源挂车！优先威钢发货,我方卸车,新老国标钢厂不加价可直发，因陕钢多次出现磅差，项目拒绝使用</v>
      </c>
      <c r="M1460" s="91">
        <v>45787</v>
      </c>
      <c r="O1460" s="62">
        <f ca="1" t="shared" si="72"/>
        <v>0</v>
      </c>
      <c r="P1460" s="62">
        <f ca="1" t="shared" si="70"/>
        <v>173</v>
      </c>
      <c r="Q1460" s="29" t="str">
        <f>VLOOKUP(B1460,辅助信息!E:M,9,FALSE)</f>
        <v>ZTWM-CDGS-XS-2024-0030-华西集采-简州大道</v>
      </c>
      <c r="R1460" s="29" t="str">
        <f>_xlfn._xlws.FILTER(辅助信息!D:D,辅助信息!E:E=B1460)</f>
        <v>华西简阳西城嘉苑</v>
      </c>
    </row>
    <row r="1461" hidden="1" spans="2:18">
      <c r="B1461" s="40" t="s">
        <v>81</v>
      </c>
      <c r="C1461" s="70">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09" t="str">
        <f>VLOOKUP(B1461,辅助信息!E:J,6,FALSE)</f>
        <v>现场禁止使用氢能源挂车！优先威钢发货,我方卸车,新老国标钢厂不加价可直发，因陕钢多次出现磅差，项目拒绝使用</v>
      </c>
      <c r="M1461" s="91">
        <v>45787</v>
      </c>
      <c r="O1461" s="62">
        <f ca="1" t="shared" si="72"/>
        <v>0</v>
      </c>
      <c r="P1461" s="62">
        <f ca="1" t="shared" si="70"/>
        <v>173</v>
      </c>
      <c r="Q1461" s="29" t="str">
        <f>VLOOKUP(B1461,辅助信息!E:M,9,FALSE)</f>
        <v>ZTWM-CDGS-XS-2024-0030-华西集采-简州大道</v>
      </c>
      <c r="R1461" s="29" t="str">
        <f>_xlfn._xlws.FILTER(辅助信息!D:D,辅助信息!E:E=B1461)</f>
        <v>华西简阳西城嘉苑</v>
      </c>
    </row>
    <row r="1462" hidden="1" spans="2:18">
      <c r="B1462" s="40" t="s">
        <v>31</v>
      </c>
      <c r="C1462" s="70">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09" t="str">
        <f>VLOOKUP(B1462,辅助信息!E:J,6,FALSE)</f>
        <v>提前联系到场规格及数量</v>
      </c>
      <c r="M1462" s="91">
        <v>45787</v>
      </c>
      <c r="O1462" s="62">
        <f ca="1" t="shared" si="72"/>
        <v>0</v>
      </c>
      <c r="P1462" s="62">
        <f ca="1" t="shared" si="70"/>
        <v>173</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1" t="s">
        <v>149</v>
      </c>
      <c r="B1463" s="40" t="s">
        <v>68</v>
      </c>
      <c r="C1463" s="70">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09" t="str">
        <f>VLOOKUP(B1463,辅助信息!E:J,6,FALSE)</f>
        <v>控制炉批号！多了现场不收！,优先安排达钢,提前联系到场规格及数量</v>
      </c>
      <c r="M1463" s="91">
        <v>45787</v>
      </c>
      <c r="O1463" s="62">
        <f ca="1" t="shared" si="72"/>
        <v>0</v>
      </c>
      <c r="P1463" s="62">
        <f ca="1" t="shared" si="70"/>
        <v>173</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1"/>
      <c r="B1464" s="40" t="s">
        <v>68</v>
      </c>
      <c r="C1464" s="70">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09" t="str">
        <f>VLOOKUP(B1464,辅助信息!E:J,6,FALSE)</f>
        <v>控制炉批号！多了现场不收！,优先安排达钢,提前联系到场规格及数量</v>
      </c>
      <c r="M1464" s="91">
        <v>45787</v>
      </c>
      <c r="O1464" s="62">
        <f ca="1" t="shared" si="72"/>
        <v>0</v>
      </c>
      <c r="P1464" s="62">
        <f ca="1" t="shared" si="70"/>
        <v>173</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1"/>
      <c r="B1465" s="40" t="s">
        <v>68</v>
      </c>
      <c r="C1465" s="70">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09" t="str">
        <f>VLOOKUP(B1465,辅助信息!E:J,6,FALSE)</f>
        <v>控制炉批号！多了现场不收！,优先安排达钢,提前联系到场规格及数量</v>
      </c>
      <c r="M1465" s="91">
        <v>45787</v>
      </c>
      <c r="O1465" s="62">
        <f ca="1" t="shared" si="72"/>
        <v>0</v>
      </c>
      <c r="P1465" s="62">
        <f ca="1" t="shared" si="70"/>
        <v>173</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1"/>
      <c r="B1466" s="40" t="s">
        <v>68</v>
      </c>
      <c r="C1466" s="70">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09" t="str">
        <f>VLOOKUP(B1466,辅助信息!E:J,6,FALSE)</f>
        <v>控制炉批号！多了现场不收！,优先安排达钢,提前联系到场规格及数量</v>
      </c>
      <c r="M1466" s="91">
        <v>45787</v>
      </c>
      <c r="O1466" s="62">
        <f ca="1" t="shared" si="72"/>
        <v>0</v>
      </c>
      <c r="P1466" s="62">
        <f ca="1" t="shared" si="70"/>
        <v>173</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0">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09" t="str">
        <f>VLOOKUP(B1467,辅助信息!E:J,6,FALSE)</f>
        <v>控制炉批号！多了现场不收！,优先安排达钢,提前联系到场规格及数量</v>
      </c>
      <c r="M1467" s="91">
        <v>45787</v>
      </c>
      <c r="O1467" s="62">
        <f ca="1" t="shared" si="72"/>
        <v>0</v>
      </c>
      <c r="P1467" s="62">
        <f ca="1" t="shared" si="70"/>
        <v>173</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0">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09" t="str">
        <f>VLOOKUP(B1468,辅助信息!E:J,6,FALSE)</f>
        <v>控制炉批号！多了现场不收！,优先安排达钢,提前联系到场规格及数量</v>
      </c>
      <c r="M1468" s="91">
        <v>45787</v>
      </c>
      <c r="O1468" s="62">
        <f ca="1" t="shared" si="72"/>
        <v>0</v>
      </c>
      <c r="P1468" s="62">
        <f ca="1" t="shared" si="70"/>
        <v>173</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0">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09" t="str">
        <f>VLOOKUP(B1469,辅助信息!E:J,6,FALSE)</f>
        <v>控制炉批号！多了现场不收！,优先安排达钢,提前联系到场规格及数量</v>
      </c>
      <c r="M1469" s="91">
        <v>45787</v>
      </c>
      <c r="O1469" s="62">
        <f ca="1" t="shared" si="72"/>
        <v>0</v>
      </c>
      <c r="P1469" s="62">
        <f ca="1" t="shared" si="70"/>
        <v>173</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0">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09" t="str">
        <f>VLOOKUP(B1470,辅助信息!E:J,6,FALSE)</f>
        <v>现场禁止使用氢能源挂车！优先威钢发货,我方卸车,新老国标钢厂不加价可直发，因陕钢多次出现磅差，项目拒绝使用</v>
      </c>
      <c r="M1470" s="91">
        <v>45787</v>
      </c>
      <c r="O1470" s="62">
        <f ca="1" t="shared" si="72"/>
        <v>0</v>
      </c>
      <c r="P1470" s="62">
        <f ca="1" t="shared" si="70"/>
        <v>173</v>
      </c>
      <c r="Q1470" s="29" t="str">
        <f>VLOOKUP(B1470,辅助信息!E:M,9,FALSE)</f>
        <v>ZTWM-CDGS-XS-2024-0030-华西集采-简州大道</v>
      </c>
      <c r="R1470" s="29" t="str">
        <f>_xlfn._xlws.FILTER(辅助信息!D:D,辅助信息!E:E=B1470)</f>
        <v>华西简阳西城嘉苑</v>
      </c>
    </row>
    <row r="1471" hidden="1" spans="2:18">
      <c r="B1471" s="40" t="s">
        <v>81</v>
      </c>
      <c r="C1471" s="70">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09" t="str">
        <f>VLOOKUP(B1471,辅助信息!E:J,6,FALSE)</f>
        <v>现场禁止使用氢能源挂车！优先威钢发货,我方卸车,新老国标钢厂不加价可直发，因陕钢多次出现磅差，项目拒绝使用</v>
      </c>
      <c r="M1471" s="91">
        <v>45787</v>
      </c>
      <c r="O1471" s="62">
        <f ca="1" t="shared" si="72"/>
        <v>0</v>
      </c>
      <c r="P1471" s="62">
        <f ca="1" t="shared" si="70"/>
        <v>173</v>
      </c>
      <c r="Q1471" s="29" t="str">
        <f>VLOOKUP(B1471,辅助信息!E:M,9,FALSE)</f>
        <v>ZTWM-CDGS-XS-2024-0030-华西集采-简州大道</v>
      </c>
      <c r="R1471" s="29" t="str">
        <f>_xlfn._xlws.FILTER(辅助信息!D:D,辅助信息!E:E=B1471)</f>
        <v>华西简阳西城嘉苑</v>
      </c>
    </row>
    <row r="1472" hidden="1" spans="2:18">
      <c r="B1472" s="40" t="s">
        <v>81</v>
      </c>
      <c r="C1472" s="70">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09" t="str">
        <f>VLOOKUP(B1472,辅助信息!E:J,6,FALSE)</f>
        <v>现场禁止使用氢能源挂车！优先威钢发货,我方卸车,新老国标钢厂不加价可直发，因陕钢多次出现磅差，项目拒绝使用</v>
      </c>
      <c r="M1472" s="91">
        <v>45787</v>
      </c>
      <c r="O1472" s="62">
        <f ca="1" t="shared" si="72"/>
        <v>0</v>
      </c>
      <c r="P1472" s="62">
        <f ca="1" t="shared" si="70"/>
        <v>173</v>
      </c>
      <c r="Q1472" s="29" t="str">
        <f>VLOOKUP(B1472,辅助信息!E:M,9,FALSE)</f>
        <v>ZTWM-CDGS-XS-2024-0030-华西集采-简州大道</v>
      </c>
      <c r="R1472" s="29" t="str">
        <f>_xlfn._xlws.FILTER(辅助信息!D:D,辅助信息!E:E=B1472)</f>
        <v>华西简阳西城嘉苑</v>
      </c>
    </row>
    <row r="1473" hidden="1" spans="2:18">
      <c r="B1473" s="40" t="s">
        <v>81</v>
      </c>
      <c r="C1473" s="70">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09" t="str">
        <f>VLOOKUP(B1473,辅助信息!E:J,6,FALSE)</f>
        <v>现场禁止使用氢能源挂车！优先威钢发货,我方卸车,新老国标钢厂不加价可直发，因陕钢多次出现磅差，项目拒绝使用</v>
      </c>
      <c r="M1473" s="91">
        <v>45787</v>
      </c>
      <c r="O1473" s="62">
        <f ca="1" t="shared" si="72"/>
        <v>0</v>
      </c>
      <c r="P1473" s="62">
        <f ca="1" t="shared" si="70"/>
        <v>173</v>
      </c>
      <c r="Q1473" s="29" t="str">
        <f>VLOOKUP(B1473,辅助信息!E:M,9,FALSE)</f>
        <v>ZTWM-CDGS-XS-2024-0030-华西集采-简州大道</v>
      </c>
      <c r="R1473" s="29" t="str">
        <f>_xlfn._xlws.FILTER(辅助信息!D:D,辅助信息!E:E=B1473)</f>
        <v>华西简阳西城嘉苑</v>
      </c>
    </row>
    <row r="1474" hidden="1" spans="2:18">
      <c r="B1474" s="40" t="s">
        <v>81</v>
      </c>
      <c r="C1474" s="70">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09" t="str">
        <f>VLOOKUP(B1474,辅助信息!E:J,6,FALSE)</f>
        <v>现场禁止使用氢能源挂车！优先威钢发货,我方卸车,新老国标钢厂不加价可直发，因陕钢多次出现磅差，项目拒绝使用</v>
      </c>
      <c r="M1474" s="91">
        <v>45787</v>
      </c>
      <c r="O1474" s="62">
        <f ca="1" t="shared" si="72"/>
        <v>0</v>
      </c>
      <c r="P1474" s="62">
        <f ca="1" t="shared" si="70"/>
        <v>173</v>
      </c>
      <c r="Q1474" s="29" t="str">
        <f>VLOOKUP(B1474,辅助信息!E:M,9,FALSE)</f>
        <v>ZTWM-CDGS-XS-2024-0030-华西集采-简州大道</v>
      </c>
      <c r="R1474" s="29" t="str">
        <f>_xlfn._xlws.FILTER(辅助信息!D:D,辅助信息!E:E=B1474)</f>
        <v>华西简阳西城嘉苑</v>
      </c>
    </row>
    <row r="1475" hidden="1" spans="2:18">
      <c r="B1475" s="40" t="s">
        <v>81</v>
      </c>
      <c r="C1475" s="70">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09" t="str">
        <f>VLOOKUP(B1475,辅助信息!E:J,6,FALSE)</f>
        <v>现场禁止使用氢能源挂车！优先威钢发货,我方卸车,新老国标钢厂不加价可直发，因陕钢多次出现磅差，项目拒绝使用</v>
      </c>
      <c r="M1475" s="91">
        <v>45787</v>
      </c>
      <c r="O1475" s="62">
        <f ca="1" t="shared" si="72"/>
        <v>0</v>
      </c>
      <c r="P1475" s="62">
        <f ca="1" t="shared" si="70"/>
        <v>173</v>
      </c>
      <c r="Q1475" s="29" t="str">
        <f>VLOOKUP(B1475,辅助信息!E:M,9,FALSE)</f>
        <v>ZTWM-CDGS-XS-2024-0030-华西集采-简州大道</v>
      </c>
      <c r="R1475" s="29" t="str">
        <f>_xlfn._xlws.FILTER(辅助信息!D:D,辅助信息!E:E=B1475)</f>
        <v>华西简阳西城嘉苑</v>
      </c>
    </row>
    <row r="1476" hidden="1" spans="2:18">
      <c r="B1476" s="40" t="s">
        <v>81</v>
      </c>
      <c r="C1476" s="70">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09" t="str">
        <f>VLOOKUP(B1476,辅助信息!E:J,6,FALSE)</f>
        <v>现场禁止使用氢能源挂车！优先威钢发货,我方卸车,新老国标钢厂不加价可直发，因陕钢多次出现磅差，项目拒绝使用</v>
      </c>
      <c r="M1476" s="91">
        <v>45787</v>
      </c>
      <c r="O1476" s="62">
        <f ca="1" t="shared" si="72"/>
        <v>0</v>
      </c>
      <c r="P1476" s="62">
        <f ca="1" t="shared" si="70"/>
        <v>173</v>
      </c>
      <c r="Q1476" s="29" t="str">
        <f>VLOOKUP(B1476,辅助信息!E:M,9,FALSE)</f>
        <v>ZTWM-CDGS-XS-2024-0030-华西集采-简州大道</v>
      </c>
      <c r="R1476" s="29" t="str">
        <f>_xlfn._xlws.FILTER(辅助信息!D:D,辅助信息!E:E=B1476)</f>
        <v>华西简阳西城嘉苑</v>
      </c>
    </row>
    <row r="1477" hidden="1" spans="2:18">
      <c r="B1477" s="40" t="s">
        <v>81</v>
      </c>
      <c r="C1477" s="70">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09" t="str">
        <f>VLOOKUP(B1477,辅助信息!E:J,6,FALSE)</f>
        <v>现场禁止使用氢能源挂车！优先威钢发货,我方卸车,新老国标钢厂不加价可直发，因陕钢多次出现磅差，项目拒绝使用</v>
      </c>
      <c r="M1477" s="91">
        <v>45787</v>
      </c>
      <c r="O1477" s="62">
        <f ca="1" t="shared" si="72"/>
        <v>0</v>
      </c>
      <c r="P1477" s="62">
        <f ca="1" t="shared" si="70"/>
        <v>173</v>
      </c>
      <c r="Q1477" s="29" t="str">
        <f>VLOOKUP(B1477,辅助信息!E:M,9,FALSE)</f>
        <v>ZTWM-CDGS-XS-2024-0030-华西集采-简州大道</v>
      </c>
      <c r="R1477" s="29" t="str">
        <f>_xlfn._xlws.FILTER(辅助信息!D:D,辅助信息!E:E=B1477)</f>
        <v>华西简阳西城嘉苑</v>
      </c>
    </row>
    <row r="1478" hidden="1" spans="2:18">
      <c r="B1478" s="40" t="s">
        <v>81</v>
      </c>
      <c r="C1478" s="70">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09" t="str">
        <f>VLOOKUP(B1478,辅助信息!E:J,6,FALSE)</f>
        <v>现场禁止使用氢能源挂车！优先威钢发货,我方卸车,新老国标钢厂不加价可直发，因陕钢多次出现磅差，项目拒绝使用</v>
      </c>
      <c r="M1478" s="91">
        <v>45787</v>
      </c>
      <c r="O1478" s="62">
        <f ca="1" t="shared" si="72"/>
        <v>0</v>
      </c>
      <c r="P1478" s="62">
        <f ca="1" t="shared" si="70"/>
        <v>173</v>
      </c>
      <c r="Q1478" s="29" t="str">
        <f>VLOOKUP(B1478,辅助信息!E:M,9,FALSE)</f>
        <v>ZTWM-CDGS-XS-2024-0030-华西集采-简州大道</v>
      </c>
      <c r="R1478" s="29" t="str">
        <f>_xlfn._xlws.FILTER(辅助信息!D:D,辅助信息!E:E=B1478)</f>
        <v>华西简阳西城嘉苑</v>
      </c>
    </row>
    <row r="1479" hidden="1" spans="2:18">
      <c r="B1479" s="40" t="s">
        <v>81</v>
      </c>
      <c r="C1479" s="70">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09" t="str">
        <f>VLOOKUP(B1479,辅助信息!E:J,6,FALSE)</f>
        <v>现场禁止使用氢能源挂车！优先威钢发货,我方卸车,新老国标钢厂不加价可直发，因陕钢多次出现磅差，项目拒绝使用</v>
      </c>
      <c r="M1479" s="91">
        <v>45787</v>
      </c>
      <c r="O1479" s="62">
        <f ca="1" t="shared" si="72"/>
        <v>0</v>
      </c>
      <c r="P1479" s="62">
        <f ca="1" t="shared" si="70"/>
        <v>173</v>
      </c>
      <c r="Q1479" s="29" t="str">
        <f>VLOOKUP(B1479,辅助信息!E:M,9,FALSE)</f>
        <v>ZTWM-CDGS-XS-2024-0030-华西集采-简州大道</v>
      </c>
      <c r="R1479" s="29" t="str">
        <f>_xlfn._xlws.FILTER(辅助信息!D:D,辅助信息!E:E=B1479)</f>
        <v>华西简阳西城嘉苑</v>
      </c>
    </row>
    <row r="1480" hidden="1" spans="2:18">
      <c r="B1480" s="40" t="s">
        <v>81</v>
      </c>
      <c r="C1480" s="70">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09" t="str">
        <f>VLOOKUP(B1480,辅助信息!E:J,6,FALSE)</f>
        <v>现场禁止使用氢能源挂车！优先威钢发货,我方卸车,新老国标钢厂不加价可直发，因陕钢多次出现磅差，项目拒绝使用</v>
      </c>
      <c r="M1480" s="91">
        <v>45787</v>
      </c>
      <c r="O1480" s="62">
        <f ca="1" t="shared" si="72"/>
        <v>0</v>
      </c>
      <c r="P1480" s="62">
        <f ca="1" t="shared" si="70"/>
        <v>173</v>
      </c>
      <c r="Q1480" s="29" t="str">
        <f>VLOOKUP(B1480,辅助信息!E:M,9,FALSE)</f>
        <v>ZTWM-CDGS-XS-2024-0030-华西集采-简州大道</v>
      </c>
      <c r="R1480" s="29" t="str">
        <f>_xlfn._xlws.FILTER(辅助信息!D:D,辅助信息!E:E=B1480)</f>
        <v>华西简阳西城嘉苑</v>
      </c>
    </row>
    <row r="1481" hidden="1" spans="2:18">
      <c r="B1481" s="40" t="s">
        <v>81</v>
      </c>
      <c r="C1481" s="70">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09" t="str">
        <f>VLOOKUP(B1481,辅助信息!E:J,6,FALSE)</f>
        <v>现场禁止使用氢能源挂车！优先威钢发货,我方卸车,新老国标钢厂不加价可直发，因陕钢多次出现磅差，项目拒绝使用</v>
      </c>
      <c r="M1481" s="91">
        <v>45787</v>
      </c>
      <c r="O1481" s="62">
        <f ca="1" t="shared" si="72"/>
        <v>0</v>
      </c>
      <c r="P1481" s="62">
        <f ca="1" t="shared" si="70"/>
        <v>173</v>
      </c>
      <c r="Q1481" s="29" t="str">
        <f>VLOOKUP(B1481,辅助信息!E:M,9,FALSE)</f>
        <v>ZTWM-CDGS-XS-2024-0030-华西集采-简州大道</v>
      </c>
      <c r="R1481" s="29" t="str">
        <f>_xlfn._xlws.FILTER(辅助信息!D:D,辅助信息!E:E=B1481)</f>
        <v>华西简阳西城嘉苑</v>
      </c>
    </row>
    <row r="1482" hidden="1" spans="2:18">
      <c r="B1482" s="40" t="s">
        <v>81</v>
      </c>
      <c r="C1482" s="70">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09" t="str">
        <f>VLOOKUP(B1482,辅助信息!E:J,6,FALSE)</f>
        <v>现场禁止使用氢能源挂车！优先威钢发货,我方卸车,新老国标钢厂不加价可直发，因陕钢多次出现磅差，项目拒绝使用</v>
      </c>
      <c r="M1482" s="91">
        <v>45787</v>
      </c>
      <c r="O1482" s="62">
        <f ca="1" t="shared" si="72"/>
        <v>0</v>
      </c>
      <c r="P1482" s="62">
        <f ca="1" t="shared" si="70"/>
        <v>173</v>
      </c>
      <c r="Q1482" s="29" t="str">
        <f>VLOOKUP(B1482,辅助信息!E:M,9,FALSE)</f>
        <v>ZTWM-CDGS-XS-2024-0030-华西集采-简州大道</v>
      </c>
      <c r="R1482" s="29" t="str">
        <f>_xlfn._xlws.FILTER(辅助信息!D:D,辅助信息!E:E=B1482)</f>
        <v>华西简阳西城嘉苑</v>
      </c>
    </row>
    <row r="1483" hidden="1" spans="2:18">
      <c r="B1483" s="40" t="s">
        <v>81</v>
      </c>
      <c r="C1483" s="70">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09" t="str">
        <f>VLOOKUP(B1483,辅助信息!E:J,6,FALSE)</f>
        <v>现场禁止使用氢能源挂车！优先威钢发货,我方卸车,新老国标钢厂不加价可直发，因陕钢多次出现磅差，项目拒绝使用</v>
      </c>
      <c r="M1483" s="91">
        <v>45787</v>
      </c>
      <c r="O1483" s="62">
        <f ca="1" t="shared" si="72"/>
        <v>0</v>
      </c>
      <c r="P1483" s="62">
        <f ca="1" t="shared" si="70"/>
        <v>173</v>
      </c>
      <c r="Q1483" s="29" t="str">
        <f>VLOOKUP(B1483,辅助信息!E:M,9,FALSE)</f>
        <v>ZTWM-CDGS-XS-2024-0030-华西集采-简州大道</v>
      </c>
      <c r="R1483" s="29" t="str">
        <f>_xlfn._xlws.FILTER(辅助信息!D:D,辅助信息!E:E=B1483)</f>
        <v>华西简阳西城嘉苑</v>
      </c>
    </row>
    <row r="1484" hidden="1" spans="2:18">
      <c r="B1484" s="40" t="s">
        <v>81</v>
      </c>
      <c r="C1484" s="70">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09" t="str">
        <f>VLOOKUP(B1484,辅助信息!E:J,6,FALSE)</f>
        <v>现场禁止使用氢能源挂车！优先威钢发货,我方卸车,新老国标钢厂不加价可直发，因陕钢多次出现磅差，项目拒绝使用</v>
      </c>
      <c r="M1484" s="91">
        <v>45787</v>
      </c>
      <c r="O1484" s="62">
        <f ca="1" t="shared" si="72"/>
        <v>0</v>
      </c>
      <c r="P1484" s="62">
        <f ca="1" t="shared" si="70"/>
        <v>173</v>
      </c>
      <c r="Q1484" s="29" t="str">
        <f>VLOOKUP(B1484,辅助信息!E:M,9,FALSE)</f>
        <v>ZTWM-CDGS-XS-2024-0030-华西集采-简州大道</v>
      </c>
      <c r="R1484" s="29" t="str">
        <f>_xlfn._xlws.FILTER(辅助信息!D:D,辅助信息!E:E=B1484)</f>
        <v>华西简阳西城嘉苑</v>
      </c>
    </row>
    <row r="1485" hidden="1" spans="2:18">
      <c r="B1485" s="40" t="s">
        <v>81</v>
      </c>
      <c r="C1485" s="70">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09" t="str">
        <f>VLOOKUP(B1485,辅助信息!E:J,6,FALSE)</f>
        <v>现场禁止使用氢能源挂车！优先威钢发货,我方卸车,新老国标钢厂不加价可直发，因陕钢多次出现磅差，项目拒绝使用</v>
      </c>
      <c r="M1485" s="91">
        <v>45787</v>
      </c>
      <c r="O1485" s="62">
        <f ca="1" t="shared" ref="O1485:O1502" si="74">IF(OR(M1485="",N1485&lt;&gt;""),"",MAX(M1485-TODAY(),0))</f>
        <v>0</v>
      </c>
      <c r="P1485" s="62">
        <f ca="1" t="shared" si="70"/>
        <v>173</v>
      </c>
      <c r="Q1485" s="29" t="str">
        <f>VLOOKUP(B1485,辅助信息!E:M,9,FALSE)</f>
        <v>ZTWM-CDGS-XS-2024-0030-华西集采-简州大道</v>
      </c>
      <c r="R1485" s="29" t="str">
        <f>_xlfn._xlws.FILTER(辅助信息!D:D,辅助信息!E:E=B1485)</f>
        <v>华西简阳西城嘉苑</v>
      </c>
    </row>
    <row r="1486" hidden="1" spans="2:18">
      <c r="B1486" s="40" t="s">
        <v>81</v>
      </c>
      <c r="C1486" s="70">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09" t="str">
        <f>VLOOKUP(B1486,辅助信息!E:J,6,FALSE)</f>
        <v>现场禁止使用氢能源挂车！优先威钢发货,我方卸车,新老国标钢厂不加价可直发，因陕钢多次出现磅差，项目拒绝使用</v>
      </c>
      <c r="M1486" s="91">
        <v>45787</v>
      </c>
      <c r="O1486" s="62">
        <f ca="1" t="shared" si="74"/>
        <v>0</v>
      </c>
      <c r="P1486" s="62">
        <f ca="1" t="shared" si="70"/>
        <v>173</v>
      </c>
      <c r="Q1486" s="29" t="str">
        <f>VLOOKUP(B1486,辅助信息!E:M,9,FALSE)</f>
        <v>ZTWM-CDGS-XS-2024-0030-华西集采-简州大道</v>
      </c>
      <c r="R1486" s="29" t="str">
        <f>_xlfn._xlws.FILTER(辅助信息!D:D,辅助信息!E:E=B1486)</f>
        <v>华西简阳西城嘉苑</v>
      </c>
    </row>
    <row r="1487" hidden="1" spans="2:18">
      <c r="B1487" s="40" t="s">
        <v>81</v>
      </c>
      <c r="C1487" s="70">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09" t="str">
        <f>VLOOKUP(B1487,辅助信息!E:J,6,FALSE)</f>
        <v>现场禁止使用氢能源挂车！优先威钢发货,我方卸车,新老国标钢厂不加价可直发，因陕钢多次出现磅差，项目拒绝使用</v>
      </c>
      <c r="M1487" s="91">
        <v>45787</v>
      </c>
      <c r="O1487" s="62">
        <f ca="1" t="shared" si="74"/>
        <v>0</v>
      </c>
      <c r="P1487" s="62">
        <f ca="1" t="shared" ref="P1487:P1519" si="75">IF(M1487="","",IF(N1487&lt;&gt;"",MAX(N1487-M1487,0),IF(TODAY()&gt;M1487,TODAY()-M1487,0)))</f>
        <v>173</v>
      </c>
      <c r="Q1487" s="29" t="str">
        <f>VLOOKUP(B1487,辅助信息!E:M,9,FALSE)</f>
        <v>ZTWM-CDGS-XS-2024-0030-华西集采-简州大道</v>
      </c>
      <c r="R1487" s="29" t="str">
        <f>_xlfn._xlws.FILTER(辅助信息!D:D,辅助信息!E:E=B1487)</f>
        <v>华西简阳西城嘉苑</v>
      </c>
    </row>
    <row r="1488" hidden="1" spans="2:18">
      <c r="B1488" s="40" t="s">
        <v>147</v>
      </c>
      <c r="C1488" s="70">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09" t="str">
        <f>VLOOKUP(B1488,辅助信息!E:J,6,FALSE)</f>
        <v>控制炉批号！多了现场不收！,优先安排达钢,提前联系到场规格及数量</v>
      </c>
      <c r="M1488" s="91">
        <v>45784</v>
      </c>
      <c r="O1488" s="62">
        <f ca="1" t="shared" si="74"/>
        <v>0</v>
      </c>
      <c r="P1488" s="62">
        <f ca="1" t="shared" si="75"/>
        <v>176</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0">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09" t="str">
        <f>VLOOKUP(B1489,辅助信息!E:J,6,FALSE)</f>
        <v>控制炉批号！多了现场不收！,优先安排达钢,提前联系到场规格及数量</v>
      </c>
      <c r="M1489" s="91">
        <v>45784</v>
      </c>
      <c r="O1489" s="62">
        <f ca="1" t="shared" si="74"/>
        <v>0</v>
      </c>
      <c r="P1489" s="62">
        <f ca="1" t="shared" si="75"/>
        <v>176</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2" t="s">
        <v>100</v>
      </c>
      <c r="B1490" s="40" t="s">
        <v>106</v>
      </c>
      <c r="C1490" s="70">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09" t="str">
        <f>VLOOKUP(B1490,辅助信息!E:J,6,FALSE)</f>
        <v>提前联系到场规格</v>
      </c>
      <c r="M1490" s="91">
        <v>45785</v>
      </c>
      <c r="O1490" s="62">
        <f ca="1" t="shared" si="74"/>
        <v>0</v>
      </c>
      <c r="P1490" s="62">
        <f ca="1" t="shared" si="75"/>
        <v>175</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2"/>
      <c r="B1491" s="40" t="s">
        <v>106</v>
      </c>
      <c r="C1491" s="70">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09" t="str">
        <f>VLOOKUP(B1491,辅助信息!E:J,6,FALSE)</f>
        <v>提前联系到场规格</v>
      </c>
      <c r="M1491" s="91">
        <v>45785</v>
      </c>
      <c r="O1491" s="62">
        <f ca="1" t="shared" si="74"/>
        <v>0</v>
      </c>
      <c r="P1491" s="62">
        <f ca="1" t="shared" si="75"/>
        <v>175</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2"/>
      <c r="B1492" s="40" t="s">
        <v>106</v>
      </c>
      <c r="C1492" s="70">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09" t="str">
        <f>VLOOKUP(B1492,辅助信息!E:J,6,FALSE)</f>
        <v>提前联系到场规格</v>
      </c>
      <c r="M1492" s="91">
        <v>45785</v>
      </c>
      <c r="O1492" s="62">
        <f ca="1" t="shared" si="74"/>
        <v>0</v>
      </c>
      <c r="P1492" s="62">
        <f ca="1" t="shared" si="75"/>
        <v>175</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2"/>
      <c r="B1493" s="40" t="s">
        <v>106</v>
      </c>
      <c r="C1493" s="70">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09" t="str">
        <f>VLOOKUP(B1493,辅助信息!E:J,6,FALSE)</f>
        <v>提前联系到场规格</v>
      </c>
      <c r="M1493" s="91">
        <v>45785</v>
      </c>
      <c r="O1493" s="62">
        <f ca="1" t="shared" si="74"/>
        <v>0</v>
      </c>
      <c r="P1493" s="62">
        <f ca="1" t="shared" si="75"/>
        <v>175</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2"/>
      <c r="B1494" s="40" t="s">
        <v>106</v>
      </c>
      <c r="C1494" s="70">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09" t="str">
        <f>VLOOKUP(B1494,辅助信息!E:J,6,FALSE)</f>
        <v>提前联系到场规格</v>
      </c>
      <c r="M1494" s="91">
        <v>45785</v>
      </c>
      <c r="O1494" s="62">
        <f ca="1" t="shared" si="74"/>
        <v>0</v>
      </c>
      <c r="P1494" s="62">
        <f ca="1" t="shared" si="75"/>
        <v>175</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2" t="s">
        <v>100</v>
      </c>
      <c r="B1495" s="40" t="s">
        <v>127</v>
      </c>
      <c r="C1495" s="70">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09" t="str">
        <f>VLOOKUP(B1495,辅助信息!E:J,6,FALSE)</f>
        <v>送货单：送货单位：南充思临新材料科技有限公司,收货单位：五冶集团川北(南充)建设有限公司,项目名称：南充医学科学产业园,送货车型13米,装货前联系收货人核实到场规格</v>
      </c>
      <c r="M1495" s="91">
        <v>45785</v>
      </c>
      <c r="O1495" s="62">
        <f ca="1" t="shared" si="74"/>
        <v>0</v>
      </c>
      <c r="P1495" s="62">
        <f ca="1" t="shared" si="75"/>
        <v>175</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2"/>
      <c r="B1496" s="40" t="s">
        <v>127</v>
      </c>
      <c r="C1496" s="70">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09" t="str">
        <f>VLOOKUP(B1496,辅助信息!E:J,6,FALSE)</f>
        <v>送货单：送货单位：南充思临新材料科技有限公司,收货单位：五冶集团川北(南充)建设有限公司,项目名称：南充医学科学产业园,送货车型13米,装货前联系收货人核实到场规格</v>
      </c>
      <c r="M1496" s="91">
        <v>45785</v>
      </c>
      <c r="O1496" s="62">
        <f ca="1" t="shared" si="74"/>
        <v>0</v>
      </c>
      <c r="P1496" s="62">
        <f ca="1" t="shared" si="75"/>
        <v>175</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2"/>
      <c r="B1497" s="40" t="s">
        <v>127</v>
      </c>
      <c r="C1497" s="70">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09" t="str">
        <f>VLOOKUP(B1497,辅助信息!E:J,6,FALSE)</f>
        <v>送货单：送货单位：南充思临新材料科技有限公司,收货单位：五冶集团川北(南充)建设有限公司,项目名称：南充医学科学产业园,送货车型13米,装货前联系收货人核实到场规格</v>
      </c>
      <c r="M1497" s="91">
        <v>45785</v>
      </c>
      <c r="O1497" s="62">
        <f ca="1" t="shared" si="74"/>
        <v>0</v>
      </c>
      <c r="P1497" s="62">
        <f ca="1" t="shared" si="75"/>
        <v>175</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2" t="s">
        <v>100</v>
      </c>
      <c r="B1498" s="40" t="s">
        <v>68</v>
      </c>
      <c r="C1498" s="70">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09" t="str">
        <f>VLOOKUP(B1498,辅助信息!E:J,6,FALSE)</f>
        <v>控制炉批号！多了现场不收！,优先安排达钢,提前联系到场规格及数量</v>
      </c>
      <c r="M1498" s="91">
        <v>45785</v>
      </c>
      <c r="O1498" s="62">
        <f ca="1" t="shared" si="74"/>
        <v>0</v>
      </c>
      <c r="P1498" s="62">
        <f ca="1" t="shared" si="75"/>
        <v>175</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2"/>
      <c r="B1499" s="40" t="s">
        <v>68</v>
      </c>
      <c r="C1499" s="70">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09" t="str">
        <f>VLOOKUP(B1499,辅助信息!E:J,6,FALSE)</f>
        <v>控制炉批号！多了现场不收！,优先安排达钢,提前联系到场规格及数量</v>
      </c>
      <c r="M1499" s="91">
        <v>45785</v>
      </c>
      <c r="O1499" s="62">
        <f ca="1" t="shared" si="74"/>
        <v>0</v>
      </c>
      <c r="P1499" s="62">
        <f ca="1" t="shared" si="75"/>
        <v>175</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2"/>
      <c r="B1500" s="40" t="s">
        <v>68</v>
      </c>
      <c r="C1500" s="70">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09" t="str">
        <f>VLOOKUP(B1500,辅助信息!E:J,6,FALSE)</f>
        <v>控制炉批号！多了现场不收！,优先安排达钢,提前联系到场规格及数量</v>
      </c>
      <c r="M1500" s="91">
        <v>45787</v>
      </c>
      <c r="O1500" s="62">
        <f ca="1" t="shared" si="74"/>
        <v>0</v>
      </c>
      <c r="P1500" s="62">
        <f ca="1" t="shared" si="75"/>
        <v>173</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0">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09" t="str">
        <f>VLOOKUP(B1501,辅助信息!E:J,6,FALSE)</f>
        <v>控制炉批号！多了现场不收！,优先安排达钢,提前联系到场规格及数量</v>
      </c>
      <c r="M1501" s="91">
        <v>45787</v>
      </c>
      <c r="O1501" s="62">
        <f ca="1" t="shared" si="74"/>
        <v>0</v>
      </c>
      <c r="P1501" s="62">
        <f ca="1" t="shared" si="75"/>
        <v>173</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0">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09" t="str">
        <f>VLOOKUP(B1502,辅助信息!E:J,6,FALSE)</f>
        <v>控制炉批号！多了现场不收！,优先安排达钢,提前联系到场规格及数量</v>
      </c>
      <c r="M1502" s="91">
        <v>45787</v>
      </c>
      <c r="O1502" s="62">
        <f ca="1" t="shared" si="74"/>
        <v>0</v>
      </c>
      <c r="P1502" s="62">
        <f ca="1" t="shared" si="75"/>
        <v>173</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2" t="s">
        <v>100</v>
      </c>
      <c r="B1503" s="40" t="s">
        <v>81</v>
      </c>
      <c r="C1503" s="70">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09" t="str">
        <f>VLOOKUP(B1503,辅助信息!E:J,6,FALSE)</f>
        <v>现场禁止使用氢能源挂车！优先威钢发货,我方卸车,新老国标钢厂不加价可直发，因陕钢多次出现磅差，项目拒绝使用</v>
      </c>
      <c r="M1503" s="91">
        <v>45787</v>
      </c>
      <c r="O1503" s="62">
        <f ca="1" t="shared" ref="O1503:O1521" si="76">IF(OR(M1503="",N1503&lt;&gt;""),"",MAX(M1503-TODAY(),0))</f>
        <v>0</v>
      </c>
      <c r="P1503" s="62">
        <f ca="1" t="shared" si="75"/>
        <v>173</v>
      </c>
      <c r="Q1503" s="29" t="str">
        <f>VLOOKUP(B1503,辅助信息!E:M,9,FALSE)</f>
        <v>ZTWM-CDGS-XS-2024-0030-华西集采-简州大道</v>
      </c>
      <c r="R1503" s="29" t="str">
        <f>_xlfn._xlws.FILTER(辅助信息!D:D,辅助信息!E:E=B1503)</f>
        <v>华西简阳西城嘉苑</v>
      </c>
    </row>
    <row r="1504" hidden="1" spans="1:18">
      <c r="A1504" s="82"/>
      <c r="B1504" s="40" t="s">
        <v>81</v>
      </c>
      <c r="C1504" s="70">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09" t="str">
        <f>VLOOKUP(B1504,辅助信息!E:J,6,FALSE)</f>
        <v>现场禁止使用氢能源挂车！优先威钢发货,我方卸车,新老国标钢厂不加价可直发，因陕钢多次出现磅差，项目拒绝使用</v>
      </c>
      <c r="M1504" s="91">
        <v>45788</v>
      </c>
      <c r="O1504" s="62">
        <f ca="1" t="shared" si="76"/>
        <v>0</v>
      </c>
      <c r="P1504" s="62">
        <f ca="1" t="shared" si="75"/>
        <v>172</v>
      </c>
      <c r="Q1504" s="29" t="str">
        <f>VLOOKUP(B1504,辅助信息!E:M,9,FALSE)</f>
        <v>ZTWM-CDGS-XS-2024-0030-华西集采-简州大道</v>
      </c>
      <c r="R1504" s="29" t="str">
        <f>_xlfn._xlws.FILTER(辅助信息!D:D,辅助信息!E:E=B1504)</f>
        <v>华西简阳西城嘉苑</v>
      </c>
    </row>
    <row r="1505" hidden="1" spans="1:18">
      <c r="A1505" s="82"/>
      <c r="B1505" s="40" t="s">
        <v>81</v>
      </c>
      <c r="C1505" s="70">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09" t="str">
        <f>VLOOKUP(B1505,辅助信息!E:J,6,FALSE)</f>
        <v>现场禁止使用氢能源挂车！优先威钢发货,我方卸车,新老国标钢厂不加价可直发，因陕钢多次出现磅差，项目拒绝使用</v>
      </c>
      <c r="M1505" s="91">
        <v>45788</v>
      </c>
      <c r="O1505" s="62">
        <f ca="1" t="shared" si="76"/>
        <v>0</v>
      </c>
      <c r="P1505" s="62">
        <f ca="1" t="shared" si="75"/>
        <v>172</v>
      </c>
      <c r="Q1505" s="29" t="str">
        <f>VLOOKUP(B1505,辅助信息!E:M,9,FALSE)</f>
        <v>ZTWM-CDGS-XS-2024-0030-华西集采-简州大道</v>
      </c>
      <c r="R1505" s="29" t="str">
        <f>_xlfn._xlws.FILTER(辅助信息!D:D,辅助信息!E:E=B1505)</f>
        <v>华西简阳西城嘉苑</v>
      </c>
    </row>
    <row r="1506" hidden="1" spans="1:18">
      <c r="A1506" s="82"/>
      <c r="B1506" s="40" t="s">
        <v>81</v>
      </c>
      <c r="C1506" s="70">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09" t="str">
        <f>VLOOKUP(B1506,辅助信息!E:J,6,FALSE)</f>
        <v>现场禁止使用氢能源挂车！优先威钢发货,我方卸车,新老国标钢厂不加价可直发，因陕钢多次出现磅差，项目拒绝使用</v>
      </c>
      <c r="M1506" s="91">
        <v>45787</v>
      </c>
      <c r="O1506" s="62">
        <f ca="1" t="shared" si="76"/>
        <v>0</v>
      </c>
      <c r="P1506" s="62">
        <f ca="1" t="shared" si="75"/>
        <v>173</v>
      </c>
      <c r="Q1506" s="29" t="str">
        <f>VLOOKUP(B1506,辅助信息!E:M,9,FALSE)</f>
        <v>ZTWM-CDGS-XS-2024-0030-华西集采-简州大道</v>
      </c>
      <c r="R1506" s="29" t="str">
        <f>_xlfn._xlws.FILTER(辅助信息!D:D,辅助信息!E:E=B1506)</f>
        <v>华西简阳西城嘉苑</v>
      </c>
    </row>
    <row r="1507" hidden="1" spans="1:18">
      <c r="A1507" s="82"/>
      <c r="B1507" s="40" t="s">
        <v>81</v>
      </c>
      <c r="C1507" s="70">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09" t="str">
        <f>VLOOKUP(B1507,辅助信息!E:J,6,FALSE)</f>
        <v>现场禁止使用氢能源挂车！优先威钢发货,我方卸车,新老国标钢厂不加价可直发，因陕钢多次出现磅差，项目拒绝使用</v>
      </c>
      <c r="M1507" s="91">
        <v>45787</v>
      </c>
      <c r="O1507" s="62">
        <f ca="1" t="shared" si="76"/>
        <v>0</v>
      </c>
      <c r="P1507" s="62">
        <f ca="1" t="shared" si="75"/>
        <v>173</v>
      </c>
      <c r="Q1507" s="29" t="str">
        <f>VLOOKUP(B1507,辅助信息!E:M,9,FALSE)</f>
        <v>ZTWM-CDGS-XS-2024-0030-华西集采-简州大道</v>
      </c>
      <c r="R1507" s="29" t="str">
        <f>_xlfn._xlws.FILTER(辅助信息!D:D,辅助信息!E:E=B1507)</f>
        <v>华西简阳西城嘉苑</v>
      </c>
    </row>
    <row r="1508" hidden="1" spans="1:18">
      <c r="A1508" s="82"/>
      <c r="B1508" s="40" t="s">
        <v>81</v>
      </c>
      <c r="C1508" s="70">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09" t="str">
        <f>VLOOKUP(B1508,辅助信息!E:J,6,FALSE)</f>
        <v>现场禁止使用氢能源挂车！优先威钢发货,我方卸车,新老国标钢厂不加价可直发，因陕钢多次出现磅差，项目拒绝使用</v>
      </c>
      <c r="M1508" s="91">
        <v>45787</v>
      </c>
      <c r="O1508" s="62">
        <f ca="1" t="shared" si="76"/>
        <v>0</v>
      </c>
      <c r="P1508" s="62">
        <f ca="1" t="shared" si="75"/>
        <v>173</v>
      </c>
      <c r="Q1508" s="29" t="str">
        <f>VLOOKUP(B1508,辅助信息!E:M,9,FALSE)</f>
        <v>ZTWM-CDGS-XS-2024-0030-华西集采-简州大道</v>
      </c>
      <c r="R1508" s="29" t="str">
        <f>_xlfn._xlws.FILTER(辅助信息!D:D,辅助信息!E:E=B1508)</f>
        <v>华西简阳西城嘉苑</v>
      </c>
    </row>
    <row r="1509" hidden="1" spans="1:18">
      <c r="A1509" s="82"/>
      <c r="B1509" s="40" t="s">
        <v>81</v>
      </c>
      <c r="C1509" s="70">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09" t="str">
        <f>VLOOKUP(B1509,辅助信息!E:J,6,FALSE)</f>
        <v>现场禁止使用氢能源挂车！优先威钢发货,我方卸车,新老国标钢厂不加价可直发，因陕钢多次出现磅差，项目拒绝使用</v>
      </c>
      <c r="M1509" s="91">
        <v>45787</v>
      </c>
      <c r="O1509" s="62">
        <f ca="1" t="shared" si="76"/>
        <v>0</v>
      </c>
      <c r="P1509" s="62">
        <f ca="1" t="shared" si="75"/>
        <v>173</v>
      </c>
      <c r="Q1509" s="29" t="str">
        <f>VLOOKUP(B1509,辅助信息!E:M,9,FALSE)</f>
        <v>ZTWM-CDGS-XS-2024-0030-华西集采-简州大道</v>
      </c>
      <c r="R1509" s="29" t="str">
        <f>_xlfn._xlws.FILTER(辅助信息!D:D,辅助信息!E:E=B1509)</f>
        <v>华西简阳西城嘉苑</v>
      </c>
    </row>
    <row r="1510" hidden="1" spans="1:18">
      <c r="A1510" s="82"/>
      <c r="B1510" s="40" t="s">
        <v>81</v>
      </c>
      <c r="C1510" s="70">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09" t="str">
        <f>VLOOKUP(B1510,辅助信息!E:J,6,FALSE)</f>
        <v>现场禁止使用氢能源挂车！优先威钢发货,我方卸车,新老国标钢厂不加价可直发，因陕钢多次出现磅差，项目拒绝使用</v>
      </c>
      <c r="M1510" s="91">
        <v>45787</v>
      </c>
      <c r="O1510" s="62">
        <f ca="1" t="shared" si="76"/>
        <v>0</v>
      </c>
      <c r="P1510" s="62">
        <f ca="1" t="shared" si="75"/>
        <v>173</v>
      </c>
      <c r="Q1510" s="29" t="str">
        <f>VLOOKUP(B1510,辅助信息!E:M,9,FALSE)</f>
        <v>ZTWM-CDGS-XS-2024-0030-华西集采-简州大道</v>
      </c>
      <c r="R1510" s="29" t="str">
        <f>_xlfn._xlws.FILTER(辅助信息!D:D,辅助信息!E:E=B1510)</f>
        <v>华西简阳西城嘉苑</v>
      </c>
    </row>
    <row r="1511" hidden="1" spans="1:18">
      <c r="A1511" s="82"/>
      <c r="B1511" s="40" t="s">
        <v>81</v>
      </c>
      <c r="C1511" s="70">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09" t="str">
        <f>VLOOKUP(B1511,辅助信息!E:J,6,FALSE)</f>
        <v>现场禁止使用氢能源挂车！优先威钢发货,我方卸车,新老国标钢厂不加价可直发，因陕钢多次出现磅差，项目拒绝使用</v>
      </c>
      <c r="M1511" s="91">
        <v>45787</v>
      </c>
      <c r="O1511" s="62">
        <f ca="1" t="shared" si="76"/>
        <v>0</v>
      </c>
      <c r="P1511" s="62">
        <f ca="1" t="shared" si="75"/>
        <v>173</v>
      </c>
      <c r="Q1511" s="29" t="str">
        <f>VLOOKUP(B1511,辅助信息!E:M,9,FALSE)</f>
        <v>ZTWM-CDGS-XS-2024-0030-华西集采-简州大道</v>
      </c>
      <c r="R1511" s="29" t="str">
        <f>_xlfn._xlws.FILTER(辅助信息!D:D,辅助信息!E:E=B1511)</f>
        <v>华西简阳西城嘉苑</v>
      </c>
    </row>
    <row r="1512" hidden="1" spans="1:18">
      <c r="A1512" s="82"/>
      <c r="B1512" s="40" t="s">
        <v>81</v>
      </c>
      <c r="C1512" s="70">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09" t="str">
        <f>VLOOKUP(B1512,辅助信息!E:J,6,FALSE)</f>
        <v>现场禁止使用氢能源挂车！优先威钢发货,我方卸车,新老国标钢厂不加价可直发，因陕钢多次出现磅差，项目拒绝使用</v>
      </c>
      <c r="M1512" s="91">
        <v>45787</v>
      </c>
      <c r="O1512" s="62">
        <f ca="1" t="shared" si="76"/>
        <v>0</v>
      </c>
      <c r="P1512" s="62">
        <f ca="1" t="shared" si="75"/>
        <v>173</v>
      </c>
      <c r="Q1512" s="29" t="str">
        <f>VLOOKUP(B1512,辅助信息!E:M,9,FALSE)</f>
        <v>ZTWM-CDGS-XS-2024-0030-华西集采-简州大道</v>
      </c>
      <c r="R1512" s="29" t="str">
        <f>_xlfn._xlws.FILTER(辅助信息!D:D,辅助信息!E:E=B1512)</f>
        <v>华西简阳西城嘉苑</v>
      </c>
    </row>
    <row r="1513" hidden="1" spans="1:18">
      <c r="A1513" s="82"/>
      <c r="B1513" s="40" t="s">
        <v>81</v>
      </c>
      <c r="C1513" s="70">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09" t="str">
        <f>VLOOKUP(B1513,辅助信息!E:J,6,FALSE)</f>
        <v>现场禁止使用氢能源挂车！优先威钢发货,我方卸车,新老国标钢厂不加价可直发，因陕钢多次出现磅差，项目拒绝使用</v>
      </c>
      <c r="M1513" s="91">
        <v>45787</v>
      </c>
      <c r="O1513" s="62">
        <f ca="1" t="shared" si="76"/>
        <v>0</v>
      </c>
      <c r="P1513" s="62">
        <f ca="1" t="shared" si="75"/>
        <v>173</v>
      </c>
      <c r="Q1513" s="29" t="str">
        <f>VLOOKUP(B1513,辅助信息!E:M,9,FALSE)</f>
        <v>ZTWM-CDGS-XS-2024-0030-华西集采-简州大道</v>
      </c>
      <c r="R1513" s="29" t="str">
        <f>_xlfn._xlws.FILTER(辅助信息!D:D,辅助信息!E:E=B1513)</f>
        <v>华西简阳西城嘉苑</v>
      </c>
    </row>
    <row r="1514" hidden="1" spans="1:18">
      <c r="A1514" s="82"/>
      <c r="B1514" s="40" t="s">
        <v>81</v>
      </c>
      <c r="C1514" s="70">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09" t="str">
        <f>VLOOKUP(B1514,辅助信息!E:J,6,FALSE)</f>
        <v>现场禁止使用氢能源挂车！优先威钢发货,我方卸车,新老国标钢厂不加价可直发，因陕钢多次出现磅差，项目拒绝使用</v>
      </c>
      <c r="M1514" s="91">
        <v>45788</v>
      </c>
      <c r="O1514" s="62">
        <f ca="1" t="shared" si="76"/>
        <v>0</v>
      </c>
      <c r="P1514" s="62">
        <f ca="1" t="shared" si="75"/>
        <v>172</v>
      </c>
      <c r="Q1514" s="29" t="str">
        <f>VLOOKUP(B1514,辅助信息!E:M,9,FALSE)</f>
        <v>ZTWM-CDGS-XS-2024-0030-华西集采-简州大道</v>
      </c>
      <c r="R1514" s="29" t="str">
        <f>_xlfn._xlws.FILTER(辅助信息!D:D,辅助信息!E:E=B1514)</f>
        <v>华西简阳西城嘉苑</v>
      </c>
    </row>
    <row r="1515" hidden="1" spans="1:18">
      <c r="A1515" s="82"/>
      <c r="B1515" s="40" t="s">
        <v>81</v>
      </c>
      <c r="C1515" s="70">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09" t="str">
        <f>VLOOKUP(B1515,辅助信息!E:J,6,FALSE)</f>
        <v>现场禁止使用氢能源挂车！优先威钢发货,我方卸车,新老国标钢厂不加价可直发，因陕钢多次出现磅差，项目拒绝使用</v>
      </c>
      <c r="M1515" s="91">
        <v>45788</v>
      </c>
      <c r="O1515" s="62">
        <f ca="1" t="shared" si="76"/>
        <v>0</v>
      </c>
      <c r="P1515" s="62">
        <f ca="1" t="shared" si="75"/>
        <v>172</v>
      </c>
      <c r="Q1515" s="29" t="str">
        <f>VLOOKUP(B1515,辅助信息!E:M,9,FALSE)</f>
        <v>ZTWM-CDGS-XS-2024-0030-华西集采-简州大道</v>
      </c>
      <c r="R1515" s="29" t="str">
        <f>_xlfn._xlws.FILTER(辅助信息!D:D,辅助信息!E:E=B1515)</f>
        <v>华西简阳西城嘉苑</v>
      </c>
    </row>
    <row r="1516" hidden="1" spans="1:18">
      <c r="A1516" s="82"/>
      <c r="B1516" s="40" t="s">
        <v>81</v>
      </c>
      <c r="C1516" s="70">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09" t="str">
        <f>VLOOKUP(B1516,辅助信息!E:J,6,FALSE)</f>
        <v>现场禁止使用氢能源挂车！优先威钢发货,我方卸车,新老国标钢厂不加价可直发，因陕钢多次出现磅差，项目拒绝使用</v>
      </c>
      <c r="M1516" s="91">
        <v>45788</v>
      </c>
      <c r="O1516" s="62">
        <f ca="1" t="shared" si="76"/>
        <v>0</v>
      </c>
      <c r="P1516" s="62">
        <f ca="1" t="shared" si="75"/>
        <v>172</v>
      </c>
      <c r="Q1516" s="29" t="str">
        <f>VLOOKUP(B1516,辅助信息!E:M,9,FALSE)</f>
        <v>ZTWM-CDGS-XS-2024-0030-华西集采-简州大道</v>
      </c>
      <c r="R1516" s="29" t="str">
        <f>_xlfn._xlws.FILTER(辅助信息!D:D,辅助信息!E:E=B1516)</f>
        <v>华西简阳西城嘉苑</v>
      </c>
    </row>
    <row r="1517" hidden="1" spans="1:18">
      <c r="A1517" s="82"/>
      <c r="B1517" s="40" t="s">
        <v>81</v>
      </c>
      <c r="C1517" s="70">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09" t="str">
        <f>VLOOKUP(B1517,辅助信息!E:J,6,FALSE)</f>
        <v>现场禁止使用氢能源挂车！优先威钢发货,我方卸车,新老国标钢厂不加价可直发，因陕钢多次出现磅差，项目拒绝使用</v>
      </c>
      <c r="M1517" s="91">
        <v>45788</v>
      </c>
      <c r="O1517" s="62">
        <f ca="1" t="shared" si="76"/>
        <v>0</v>
      </c>
      <c r="P1517" s="62">
        <f ca="1" t="shared" si="75"/>
        <v>172</v>
      </c>
      <c r="Q1517" s="29" t="str">
        <f>VLOOKUP(B1517,辅助信息!E:M,9,FALSE)</f>
        <v>ZTWM-CDGS-XS-2024-0030-华西集采-简州大道</v>
      </c>
      <c r="R1517" s="29" t="str">
        <f>_xlfn._xlws.FILTER(辅助信息!D:D,辅助信息!E:E=B1517)</f>
        <v>华西简阳西城嘉苑</v>
      </c>
    </row>
    <row r="1518" hidden="1" spans="1:18">
      <c r="A1518" s="82"/>
      <c r="B1518" s="40" t="s">
        <v>81</v>
      </c>
      <c r="C1518" s="70">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09" t="str">
        <f>VLOOKUP(B1518,辅助信息!E:J,6,FALSE)</f>
        <v>现场禁止使用氢能源挂车！优先威钢发货,我方卸车,新老国标钢厂不加价可直发，因陕钢多次出现磅差，项目拒绝使用</v>
      </c>
      <c r="M1518" s="91">
        <v>45788</v>
      </c>
      <c r="O1518" s="62">
        <f ca="1" t="shared" si="76"/>
        <v>0</v>
      </c>
      <c r="P1518" s="62">
        <f ca="1" t="shared" si="75"/>
        <v>172</v>
      </c>
      <c r="Q1518" s="29" t="str">
        <f>VLOOKUP(B1518,辅助信息!E:M,9,FALSE)</f>
        <v>ZTWM-CDGS-XS-2024-0030-华西集采-简州大道</v>
      </c>
      <c r="R1518" s="29" t="str">
        <f>_xlfn._xlws.FILTER(辅助信息!D:D,辅助信息!E:E=B1518)</f>
        <v>华西简阳西城嘉苑</v>
      </c>
    </row>
    <row r="1519" hidden="1" spans="1:18">
      <c r="A1519" s="82"/>
      <c r="B1519" s="40" t="s">
        <v>81</v>
      </c>
      <c r="C1519" s="70">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09" t="str">
        <f>VLOOKUP(B1519,辅助信息!E:J,6,FALSE)</f>
        <v>现场禁止使用氢能源挂车！优先威钢发货,我方卸车,新老国标钢厂不加价可直发，因陕钢多次出现磅差，项目拒绝使用</v>
      </c>
      <c r="M1519" s="91">
        <v>45788</v>
      </c>
      <c r="O1519" s="62">
        <f ca="1" t="shared" si="76"/>
        <v>0</v>
      </c>
      <c r="P1519" s="62">
        <f ca="1" t="shared" si="75"/>
        <v>172</v>
      </c>
      <c r="Q1519" s="29" t="str">
        <f>VLOOKUP(B1519,辅助信息!E:M,9,FALSE)</f>
        <v>ZTWM-CDGS-XS-2024-0030-华西集采-简州大道</v>
      </c>
      <c r="R1519" s="29" t="str">
        <f>_xlfn._xlws.FILTER(辅助信息!D:D,辅助信息!E:E=B1519)</f>
        <v>华西简阳西城嘉苑</v>
      </c>
    </row>
    <row r="1520" hidden="1" spans="1:18">
      <c r="A1520" s="82"/>
      <c r="B1520" s="40" t="s">
        <v>81</v>
      </c>
      <c r="C1520" s="70">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09" t="str">
        <f>VLOOKUP(B1520,辅助信息!E:J,6,FALSE)</f>
        <v>现场禁止使用氢能源挂车！优先威钢发货,我方卸车,新老国标钢厂不加价可直发，因陕钢多次出现磅差，项目拒绝使用</v>
      </c>
      <c r="M1520" s="91">
        <v>45788</v>
      </c>
      <c r="O1520" s="62">
        <f ca="1" t="shared" si="76"/>
        <v>0</v>
      </c>
      <c r="P1520" s="62">
        <f ca="1" t="shared" ref="P1520:P1570" si="77">IF(M1520="","",IF(N1520&lt;&gt;"",MAX(N1520-M1520,0),IF(TODAY()&gt;M1520,TODAY()-M1520,0)))</f>
        <v>172</v>
      </c>
      <c r="Q1520" s="29" t="str">
        <f>VLOOKUP(B1520,辅助信息!E:M,9,FALSE)</f>
        <v>ZTWM-CDGS-XS-2024-0030-华西集采-简州大道</v>
      </c>
      <c r="R1520" s="29" t="str">
        <f>_xlfn._xlws.FILTER(辅助信息!D:D,辅助信息!E:E=B1520)</f>
        <v>华西简阳西城嘉苑</v>
      </c>
    </row>
    <row r="1521" hidden="1" spans="1:18">
      <c r="A1521" s="82" t="s">
        <v>100</v>
      </c>
      <c r="B1521" s="40" t="s">
        <v>31</v>
      </c>
      <c r="C1521" s="70">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09" t="str">
        <f>VLOOKUP(B1521,辅助信息!E:J,6,FALSE)</f>
        <v>提前联系到场规格及数量</v>
      </c>
      <c r="M1521" s="91">
        <v>45788</v>
      </c>
      <c r="O1521" s="62">
        <f ca="1" t="shared" si="76"/>
        <v>0</v>
      </c>
      <c r="P1521" s="62">
        <f ca="1" t="shared" si="77"/>
        <v>172</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0">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09" t="str">
        <f>VLOOKUP(B1522,辅助信息!E:J,6,FALSE)</f>
        <v>装货前联系收货人核实到场规格，货物最下面用方木垫下方便卸货</v>
      </c>
      <c r="M1522" s="91">
        <v>45792</v>
      </c>
      <c r="O1522" s="62">
        <f ca="1" t="shared" ref="O1522:O1570" si="78">IF(OR(M1522="",N1522&lt;&gt;""),"",MAX(M1522-TODAY(),0))</f>
        <v>0</v>
      </c>
      <c r="P1522" s="62">
        <f ca="1" t="shared" si="77"/>
        <v>168</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0">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09" t="str">
        <f>VLOOKUP(B1523,辅助信息!E:J,6,FALSE)</f>
        <v>装货前联系收货人核实到场规格，货物最下面用方木垫下方便卸货</v>
      </c>
      <c r="M1523" s="91">
        <v>45792</v>
      </c>
      <c r="O1523" s="62">
        <f ca="1" t="shared" si="78"/>
        <v>0</v>
      </c>
      <c r="P1523" s="62">
        <f ca="1" t="shared" si="77"/>
        <v>168</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0">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09" t="str">
        <f>VLOOKUP(B1524,辅助信息!E:J,6,FALSE)</f>
        <v>装货前联系收货人核实到场规格，货物最下面用方木垫下方便卸货</v>
      </c>
      <c r="M1524" s="91">
        <v>45792</v>
      </c>
      <c r="O1524" s="62">
        <f ca="1" t="shared" si="78"/>
        <v>0</v>
      </c>
      <c r="P1524" s="62">
        <f ca="1" t="shared" si="77"/>
        <v>168</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0">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09" t="str">
        <f>VLOOKUP(B1525,辅助信息!E:J,6,FALSE)</f>
        <v>控制炉批号！多了现场不收！,优先安排达钢,提前联系到场规格及数量</v>
      </c>
      <c r="M1525" s="91">
        <v>45784</v>
      </c>
      <c r="O1525" s="62">
        <f ca="1" t="shared" si="78"/>
        <v>0</v>
      </c>
      <c r="P1525" s="62">
        <f ca="1" t="shared" si="77"/>
        <v>176</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0">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09" t="str">
        <f>VLOOKUP(B1526,辅助信息!E:J,6,FALSE)</f>
        <v>控制炉批号！多了现场不收！,优先安排达钢,提前联系到场规格及数量</v>
      </c>
      <c r="M1526" s="91">
        <v>45784</v>
      </c>
      <c r="O1526" s="62">
        <f ca="1" t="shared" si="78"/>
        <v>0</v>
      </c>
      <c r="P1526" s="62">
        <f ca="1" t="shared" si="77"/>
        <v>176</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7" t="s">
        <v>100</v>
      </c>
      <c r="B1527" s="40" t="s">
        <v>106</v>
      </c>
      <c r="C1527" s="70">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09" t="str">
        <f>VLOOKUP(B1527,辅助信息!E:J,6,FALSE)</f>
        <v>提前联系到场规格</v>
      </c>
      <c r="M1527" s="91">
        <v>45785</v>
      </c>
      <c r="O1527" s="62">
        <f ca="1" t="shared" si="78"/>
        <v>0</v>
      </c>
      <c r="P1527" s="62">
        <f ca="1" t="shared" si="77"/>
        <v>175</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0">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09" t="str">
        <f>VLOOKUP(B1528,辅助信息!E:J,6,FALSE)</f>
        <v>提前联系到场规格</v>
      </c>
      <c r="M1528" s="91">
        <v>45785</v>
      </c>
      <c r="O1528" s="62">
        <f ca="1" t="shared" si="78"/>
        <v>0</v>
      </c>
      <c r="P1528" s="62">
        <f ca="1" t="shared" si="77"/>
        <v>175</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0">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09" t="str">
        <f>VLOOKUP(B1529,辅助信息!E:J,6,FALSE)</f>
        <v>提前联系到场规格</v>
      </c>
      <c r="M1529" s="91">
        <v>45785</v>
      </c>
      <c r="O1529" s="62">
        <f ca="1" t="shared" si="78"/>
        <v>0</v>
      </c>
      <c r="P1529" s="62">
        <f ca="1" t="shared" si="77"/>
        <v>175</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0">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09" t="str">
        <f>VLOOKUP(B1530,辅助信息!E:J,6,FALSE)</f>
        <v>提前联系到场规格</v>
      </c>
      <c r="M1530" s="91">
        <v>45785</v>
      </c>
      <c r="O1530" s="62">
        <f ca="1" t="shared" si="78"/>
        <v>0</v>
      </c>
      <c r="P1530" s="62">
        <f ca="1" t="shared" si="77"/>
        <v>175</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0">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09" t="str">
        <f>VLOOKUP(B1531,辅助信息!E:J,6,FALSE)</f>
        <v>提前联系到场规格</v>
      </c>
      <c r="M1531" s="91">
        <v>45785</v>
      </c>
      <c r="O1531" s="62">
        <f ca="1" t="shared" si="78"/>
        <v>0</v>
      </c>
      <c r="P1531" s="62">
        <f ca="1" t="shared" si="77"/>
        <v>175</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7" t="s">
        <v>100</v>
      </c>
      <c r="B1532" s="40" t="s">
        <v>81</v>
      </c>
      <c r="C1532" s="70">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09" t="str">
        <f>VLOOKUP(B1532,辅助信息!E:J,6,FALSE)</f>
        <v>现场禁止使用氢能源挂车！优先威钢发货,我方卸车,新老国标钢厂不加价可直发，因陕钢多次出现磅差，项目拒绝使用</v>
      </c>
      <c r="M1532" s="91">
        <v>45787</v>
      </c>
      <c r="O1532" s="62">
        <f ca="1" t="shared" si="78"/>
        <v>0</v>
      </c>
      <c r="P1532" s="62">
        <f ca="1" t="shared" si="77"/>
        <v>173</v>
      </c>
      <c r="Q1532" s="29" t="str">
        <f>VLOOKUP(B1532,辅助信息!E:M,9,FALSE)</f>
        <v>ZTWM-CDGS-XS-2024-0030-华西集采-简州大道</v>
      </c>
      <c r="R1532" s="29" t="str">
        <f>_xlfn._xlws.FILTER(辅助信息!D:D,辅助信息!E:E=B1532)</f>
        <v>华西简阳西城嘉苑</v>
      </c>
    </row>
    <row r="1533" hidden="1" spans="2:18">
      <c r="B1533" s="40" t="s">
        <v>81</v>
      </c>
      <c r="C1533" s="70">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09" t="str">
        <f>VLOOKUP(B1533,辅助信息!E:J,6,FALSE)</f>
        <v>现场禁止使用氢能源挂车！优先威钢发货,我方卸车,新老国标钢厂不加价可直发，因陕钢多次出现磅差，项目拒绝使用</v>
      </c>
      <c r="M1533" s="91">
        <v>45788</v>
      </c>
      <c r="O1533" s="62">
        <f ca="1" t="shared" si="78"/>
        <v>0</v>
      </c>
      <c r="P1533" s="62">
        <f ca="1" t="shared" si="77"/>
        <v>172</v>
      </c>
      <c r="Q1533" s="29" t="str">
        <f>VLOOKUP(B1533,辅助信息!E:M,9,FALSE)</f>
        <v>ZTWM-CDGS-XS-2024-0030-华西集采-简州大道</v>
      </c>
      <c r="R1533" s="29" t="str">
        <f>_xlfn._xlws.FILTER(辅助信息!D:D,辅助信息!E:E=B1533)</f>
        <v>华西简阳西城嘉苑</v>
      </c>
    </row>
    <row r="1534" hidden="1" spans="2:18">
      <c r="B1534" s="40" t="s">
        <v>81</v>
      </c>
      <c r="C1534" s="70">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09" t="str">
        <f>VLOOKUP(B1534,辅助信息!E:J,6,FALSE)</f>
        <v>现场禁止使用氢能源挂车！优先威钢发货,我方卸车,新老国标钢厂不加价可直发，因陕钢多次出现磅差，项目拒绝使用</v>
      </c>
      <c r="M1534" s="91">
        <v>45788</v>
      </c>
      <c r="O1534" s="62">
        <f ca="1" t="shared" si="78"/>
        <v>0</v>
      </c>
      <c r="P1534" s="62">
        <f ca="1" t="shared" si="77"/>
        <v>172</v>
      </c>
      <c r="Q1534" s="29" t="str">
        <f>VLOOKUP(B1534,辅助信息!E:M,9,FALSE)</f>
        <v>ZTWM-CDGS-XS-2024-0030-华西集采-简州大道</v>
      </c>
      <c r="R1534" s="29" t="str">
        <f>_xlfn._xlws.FILTER(辅助信息!D:D,辅助信息!E:E=B1534)</f>
        <v>华西简阳西城嘉苑</v>
      </c>
    </row>
    <row r="1535" hidden="1" spans="2:18">
      <c r="B1535" s="40" t="s">
        <v>81</v>
      </c>
      <c r="C1535" s="70">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09" t="str">
        <f>VLOOKUP(B1535,辅助信息!E:J,6,FALSE)</f>
        <v>现场禁止使用氢能源挂车！优先威钢发货,我方卸车,新老国标钢厂不加价可直发，因陕钢多次出现磅差，项目拒绝使用</v>
      </c>
      <c r="M1535" s="91">
        <v>45787</v>
      </c>
      <c r="O1535" s="62">
        <f ca="1" t="shared" si="78"/>
        <v>0</v>
      </c>
      <c r="P1535" s="62">
        <f ca="1" t="shared" si="77"/>
        <v>173</v>
      </c>
      <c r="Q1535" s="29" t="str">
        <f>VLOOKUP(B1535,辅助信息!E:M,9,FALSE)</f>
        <v>ZTWM-CDGS-XS-2024-0030-华西集采-简州大道</v>
      </c>
      <c r="R1535" s="29" t="str">
        <f>_xlfn._xlws.FILTER(辅助信息!D:D,辅助信息!E:E=B1535)</f>
        <v>华西简阳西城嘉苑</v>
      </c>
    </row>
    <row r="1536" hidden="1" spans="2:18">
      <c r="B1536" s="40" t="s">
        <v>81</v>
      </c>
      <c r="C1536" s="70">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09" t="str">
        <f>VLOOKUP(B1536,辅助信息!E:J,6,FALSE)</f>
        <v>现场禁止使用氢能源挂车！优先威钢发货,我方卸车,新老国标钢厂不加价可直发，因陕钢多次出现磅差，项目拒绝使用</v>
      </c>
      <c r="M1536" s="91">
        <v>45787</v>
      </c>
      <c r="O1536" s="62">
        <f ca="1" t="shared" si="78"/>
        <v>0</v>
      </c>
      <c r="P1536" s="62">
        <f ca="1" t="shared" si="77"/>
        <v>173</v>
      </c>
      <c r="Q1536" s="29" t="str">
        <f>VLOOKUP(B1536,辅助信息!E:M,9,FALSE)</f>
        <v>ZTWM-CDGS-XS-2024-0030-华西集采-简州大道</v>
      </c>
      <c r="R1536" s="29" t="str">
        <f>_xlfn._xlws.FILTER(辅助信息!D:D,辅助信息!E:E=B1536)</f>
        <v>华西简阳西城嘉苑</v>
      </c>
    </row>
    <row r="1537" hidden="1" spans="2:18">
      <c r="B1537" s="40" t="s">
        <v>81</v>
      </c>
      <c r="C1537" s="70">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09" t="str">
        <f>VLOOKUP(B1537,辅助信息!E:J,6,FALSE)</f>
        <v>现场禁止使用氢能源挂车！优先威钢发货,我方卸车,新老国标钢厂不加价可直发，因陕钢多次出现磅差，项目拒绝使用</v>
      </c>
      <c r="M1537" s="91">
        <v>45787</v>
      </c>
      <c r="O1537" s="62">
        <f ca="1" t="shared" si="78"/>
        <v>0</v>
      </c>
      <c r="P1537" s="62">
        <f ca="1" t="shared" si="77"/>
        <v>173</v>
      </c>
      <c r="Q1537" s="29" t="str">
        <f>VLOOKUP(B1537,辅助信息!E:M,9,FALSE)</f>
        <v>ZTWM-CDGS-XS-2024-0030-华西集采-简州大道</v>
      </c>
      <c r="R1537" s="29" t="str">
        <f>_xlfn._xlws.FILTER(辅助信息!D:D,辅助信息!E:E=B1537)</f>
        <v>华西简阳西城嘉苑</v>
      </c>
    </row>
    <row r="1538" hidden="1" spans="2:18">
      <c r="B1538" s="40" t="s">
        <v>81</v>
      </c>
      <c r="C1538" s="70">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09" t="str">
        <f>VLOOKUP(B1538,辅助信息!E:J,6,FALSE)</f>
        <v>现场禁止使用氢能源挂车！优先威钢发货,我方卸车,新老国标钢厂不加价可直发，因陕钢多次出现磅差，项目拒绝使用</v>
      </c>
      <c r="M1538" s="91">
        <v>45787</v>
      </c>
      <c r="O1538" s="62">
        <f ca="1" t="shared" si="78"/>
        <v>0</v>
      </c>
      <c r="P1538" s="62">
        <f ca="1" t="shared" si="77"/>
        <v>173</v>
      </c>
      <c r="Q1538" s="29" t="str">
        <f>VLOOKUP(B1538,辅助信息!E:M,9,FALSE)</f>
        <v>ZTWM-CDGS-XS-2024-0030-华西集采-简州大道</v>
      </c>
      <c r="R1538" s="29" t="str">
        <f>_xlfn._xlws.FILTER(辅助信息!D:D,辅助信息!E:E=B1538)</f>
        <v>华西简阳西城嘉苑</v>
      </c>
    </row>
    <row r="1539" hidden="1" spans="2:18">
      <c r="B1539" s="40" t="s">
        <v>81</v>
      </c>
      <c r="C1539" s="70">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09" t="str">
        <f>VLOOKUP(B1539,辅助信息!E:J,6,FALSE)</f>
        <v>现场禁止使用氢能源挂车！优先威钢发货,我方卸车,新老国标钢厂不加价可直发，因陕钢多次出现磅差，项目拒绝使用</v>
      </c>
      <c r="M1539" s="91">
        <v>45787</v>
      </c>
      <c r="O1539" s="62">
        <f ca="1" t="shared" si="78"/>
        <v>0</v>
      </c>
      <c r="P1539" s="62">
        <f ca="1" t="shared" si="77"/>
        <v>173</v>
      </c>
      <c r="Q1539" s="29" t="str">
        <f>VLOOKUP(B1539,辅助信息!E:M,9,FALSE)</f>
        <v>ZTWM-CDGS-XS-2024-0030-华西集采-简州大道</v>
      </c>
      <c r="R1539" s="29" t="str">
        <f>_xlfn._xlws.FILTER(辅助信息!D:D,辅助信息!E:E=B1539)</f>
        <v>华西简阳西城嘉苑</v>
      </c>
    </row>
    <row r="1540" hidden="1" spans="2:18">
      <c r="B1540" s="40" t="s">
        <v>81</v>
      </c>
      <c r="C1540" s="70">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09" t="str">
        <f>VLOOKUP(B1540,辅助信息!E:J,6,FALSE)</f>
        <v>现场禁止使用氢能源挂车！优先威钢发货,我方卸车,新老国标钢厂不加价可直发，因陕钢多次出现磅差，项目拒绝使用</v>
      </c>
      <c r="M1540" s="91">
        <v>45788</v>
      </c>
      <c r="O1540" s="62">
        <f ca="1" t="shared" si="78"/>
        <v>0</v>
      </c>
      <c r="P1540" s="62">
        <f ca="1" t="shared" si="77"/>
        <v>172</v>
      </c>
      <c r="Q1540" s="29" t="str">
        <f>VLOOKUP(B1540,辅助信息!E:M,9,FALSE)</f>
        <v>ZTWM-CDGS-XS-2024-0030-华西集采-简州大道</v>
      </c>
      <c r="R1540" s="29" t="str">
        <f>_xlfn._xlws.FILTER(辅助信息!D:D,辅助信息!E:E=B1540)</f>
        <v>华西简阳西城嘉苑</v>
      </c>
    </row>
    <row r="1541" hidden="1" spans="2:18">
      <c r="B1541" s="40" t="s">
        <v>81</v>
      </c>
      <c r="C1541" s="70">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09" t="str">
        <f>VLOOKUP(B1541,辅助信息!E:J,6,FALSE)</f>
        <v>现场禁止使用氢能源挂车！优先威钢发货,我方卸车,新老国标钢厂不加价可直发，因陕钢多次出现磅差，项目拒绝使用</v>
      </c>
      <c r="M1541" s="91">
        <v>45788</v>
      </c>
      <c r="O1541" s="62">
        <f ca="1" t="shared" si="78"/>
        <v>0</v>
      </c>
      <c r="P1541" s="62">
        <f ca="1" t="shared" si="77"/>
        <v>172</v>
      </c>
      <c r="Q1541" s="29" t="str">
        <f>VLOOKUP(B1541,辅助信息!E:M,9,FALSE)</f>
        <v>ZTWM-CDGS-XS-2024-0030-华西集采-简州大道</v>
      </c>
      <c r="R1541" s="29" t="str">
        <f>_xlfn._xlws.FILTER(辅助信息!D:D,辅助信息!E:E=B1541)</f>
        <v>华西简阳西城嘉苑</v>
      </c>
    </row>
    <row r="1542" hidden="1" spans="1:18">
      <c r="A1542" s="57" t="s">
        <v>100</v>
      </c>
      <c r="B1542" s="40" t="s">
        <v>31</v>
      </c>
      <c r="C1542" s="70">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09" t="str">
        <f>VLOOKUP(B1542,辅助信息!E:J,6,FALSE)</f>
        <v>提前联系到场规格及数量</v>
      </c>
      <c r="M1542" s="91">
        <v>45788</v>
      </c>
      <c r="O1542" s="62">
        <f ca="1" t="shared" si="78"/>
        <v>0</v>
      </c>
      <c r="P1542" s="62">
        <f ca="1" t="shared" si="77"/>
        <v>172</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0">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09" t="str">
        <f>VLOOKUP(B1543,辅助信息!E:J,6,FALSE)</f>
        <v>装货前联系收货人核实到场规格，货物最下面用方木垫下方便卸货</v>
      </c>
      <c r="M1543" s="91">
        <v>45792</v>
      </c>
      <c r="O1543" s="62">
        <f ca="1" t="shared" si="78"/>
        <v>0</v>
      </c>
      <c r="P1543" s="62">
        <f ca="1" t="shared" si="77"/>
        <v>168</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0">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09" t="str">
        <f>VLOOKUP(B1544,辅助信息!E:J,6,FALSE)</f>
        <v>装货前联系收货人核实到场规格，货物最下面用方木垫下方便卸货</v>
      </c>
      <c r="M1544" s="91">
        <v>45792</v>
      </c>
      <c r="O1544" s="62">
        <f ca="1" t="shared" si="78"/>
        <v>0</v>
      </c>
      <c r="P1544" s="62">
        <f ca="1" t="shared" si="77"/>
        <v>168</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0">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09" t="str">
        <f>VLOOKUP(B1545,辅助信息!E:J,6,FALSE)</f>
        <v>装货前联系收货人核实到场规格，货物最下面用方木垫下方便卸货</v>
      </c>
      <c r="M1545" s="91">
        <v>45792</v>
      </c>
      <c r="O1545" s="62">
        <f ca="1" t="shared" si="78"/>
        <v>0</v>
      </c>
      <c r="P1545" s="62">
        <f ca="1" t="shared" si="77"/>
        <v>168</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0">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09" t="str">
        <f>VLOOKUP(B1546,辅助信息!E:J,6,FALSE)</f>
        <v>控制炉批号！多了现场不收！,优先安排达钢,提前联系到场规格及数量</v>
      </c>
      <c r="M1546" s="91">
        <v>45784</v>
      </c>
      <c r="O1546" s="62">
        <f ca="1" t="shared" si="78"/>
        <v>0</v>
      </c>
      <c r="P1546" s="62">
        <f ca="1" t="shared" si="77"/>
        <v>176</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0">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09" t="str">
        <f>VLOOKUP(B1547,辅助信息!E:J,6,FALSE)</f>
        <v>控制炉批号！多了现场不收！,优先安排达钢,提前联系到场规格及数量</v>
      </c>
      <c r="M1547" s="91">
        <v>45784</v>
      </c>
      <c r="O1547" s="62">
        <f ca="1" t="shared" si="78"/>
        <v>0</v>
      </c>
      <c r="P1547" s="62">
        <f ca="1" t="shared" si="77"/>
        <v>176</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2" t="s">
        <v>100</v>
      </c>
      <c r="B1548" s="40" t="s">
        <v>106</v>
      </c>
      <c r="C1548" s="70">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09" t="str">
        <f>VLOOKUP(B1548,辅助信息!E:J,6,FALSE)</f>
        <v>提前联系到场规格</v>
      </c>
      <c r="M1548" s="91">
        <v>45785</v>
      </c>
      <c r="O1548" s="62">
        <f ca="1" t="shared" si="78"/>
        <v>0</v>
      </c>
      <c r="P1548" s="62">
        <f ca="1" t="shared" si="77"/>
        <v>175</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2"/>
      <c r="B1549" s="40" t="s">
        <v>106</v>
      </c>
      <c r="C1549" s="70">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09" t="str">
        <f>VLOOKUP(B1549,辅助信息!E:J,6,FALSE)</f>
        <v>提前联系到场规格</v>
      </c>
      <c r="M1549" s="91">
        <v>45785</v>
      </c>
      <c r="O1549" s="62">
        <f ca="1" t="shared" si="78"/>
        <v>0</v>
      </c>
      <c r="P1549" s="62">
        <f ca="1" t="shared" si="77"/>
        <v>175</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2"/>
      <c r="B1550" s="40" t="s">
        <v>106</v>
      </c>
      <c r="C1550" s="70">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09" t="str">
        <f>VLOOKUP(B1550,辅助信息!E:J,6,FALSE)</f>
        <v>提前联系到场规格</v>
      </c>
      <c r="M1550" s="91">
        <v>45785</v>
      </c>
      <c r="O1550" s="62">
        <f ca="1" t="shared" si="78"/>
        <v>0</v>
      </c>
      <c r="P1550" s="62">
        <f ca="1" t="shared" si="77"/>
        <v>175</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2" t="s">
        <v>100</v>
      </c>
      <c r="B1551" s="40" t="s">
        <v>81</v>
      </c>
      <c r="C1551" s="70">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09" t="str">
        <f>VLOOKUP(B1551,辅助信息!E:J,6,FALSE)</f>
        <v>现场禁止使用氢能源挂车！优先威钢发货,我方卸车,新老国标钢厂不加价可直发，因陕钢多次出现磅差，项目拒绝使用</v>
      </c>
      <c r="M1551" s="91">
        <v>45787</v>
      </c>
      <c r="O1551" s="62">
        <f ca="1" t="shared" si="78"/>
        <v>0</v>
      </c>
      <c r="P1551" s="62">
        <f ca="1" t="shared" si="77"/>
        <v>173</v>
      </c>
      <c r="Q1551" s="29" t="str">
        <f>VLOOKUP(B1551,辅助信息!E:M,9,FALSE)</f>
        <v>ZTWM-CDGS-XS-2024-0030-华西集采-简州大道</v>
      </c>
      <c r="R1551" s="29" t="str">
        <f>_xlfn._xlws.FILTER(辅助信息!D:D,辅助信息!E:E=B1551)</f>
        <v>华西简阳西城嘉苑</v>
      </c>
    </row>
    <row r="1552" hidden="1" spans="1:18">
      <c r="A1552" s="82"/>
      <c r="B1552" s="40" t="s">
        <v>81</v>
      </c>
      <c r="C1552" s="70">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09" t="str">
        <f>VLOOKUP(B1552,辅助信息!E:J,6,FALSE)</f>
        <v>现场禁止使用氢能源挂车！优先威钢发货,我方卸车,新老国标钢厂不加价可直发，因陕钢多次出现磅差，项目拒绝使用</v>
      </c>
      <c r="M1552" s="91">
        <v>45788</v>
      </c>
      <c r="O1552" s="62">
        <f ca="1" t="shared" si="78"/>
        <v>0</v>
      </c>
      <c r="P1552" s="62">
        <f ca="1" t="shared" si="77"/>
        <v>172</v>
      </c>
      <c r="Q1552" s="29" t="str">
        <f>VLOOKUP(B1552,辅助信息!E:M,9,FALSE)</f>
        <v>ZTWM-CDGS-XS-2024-0030-华西集采-简州大道</v>
      </c>
      <c r="R1552" s="29" t="str">
        <f>_xlfn._xlws.FILTER(辅助信息!D:D,辅助信息!E:E=B1552)</f>
        <v>华西简阳西城嘉苑</v>
      </c>
    </row>
    <row r="1553" hidden="1" spans="1:18">
      <c r="A1553" s="82"/>
      <c r="B1553" s="40" t="s">
        <v>81</v>
      </c>
      <c r="C1553" s="70">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09" t="str">
        <f>VLOOKUP(B1553,辅助信息!E:J,6,FALSE)</f>
        <v>现场禁止使用氢能源挂车！优先威钢发货,我方卸车,新老国标钢厂不加价可直发，因陕钢多次出现磅差，项目拒绝使用</v>
      </c>
      <c r="M1553" s="91">
        <v>45788</v>
      </c>
      <c r="O1553" s="62">
        <f ca="1" t="shared" si="78"/>
        <v>0</v>
      </c>
      <c r="P1553" s="62">
        <f ca="1" t="shared" si="77"/>
        <v>172</v>
      </c>
      <c r="Q1553" s="29" t="str">
        <f>VLOOKUP(B1553,辅助信息!E:M,9,FALSE)</f>
        <v>ZTWM-CDGS-XS-2024-0030-华西集采-简州大道</v>
      </c>
      <c r="R1553" s="29" t="str">
        <f>_xlfn._xlws.FILTER(辅助信息!D:D,辅助信息!E:E=B1553)</f>
        <v>华西简阳西城嘉苑</v>
      </c>
    </row>
    <row r="1554" hidden="1" spans="1:18">
      <c r="A1554" s="82"/>
      <c r="B1554" s="40" t="s">
        <v>81</v>
      </c>
      <c r="C1554" s="70">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09" t="str">
        <f>VLOOKUP(B1554,辅助信息!E:J,6,FALSE)</f>
        <v>现场禁止使用氢能源挂车！优先威钢发货,我方卸车,新老国标钢厂不加价可直发，因陕钢多次出现磅差，项目拒绝使用</v>
      </c>
      <c r="M1554" s="91">
        <v>45787</v>
      </c>
      <c r="O1554" s="62">
        <f ca="1" t="shared" si="78"/>
        <v>0</v>
      </c>
      <c r="P1554" s="62">
        <f ca="1" t="shared" si="77"/>
        <v>173</v>
      </c>
      <c r="Q1554" s="29" t="str">
        <f>VLOOKUP(B1554,辅助信息!E:M,9,FALSE)</f>
        <v>ZTWM-CDGS-XS-2024-0030-华西集采-简州大道</v>
      </c>
      <c r="R1554" s="29" t="str">
        <f>_xlfn._xlws.FILTER(辅助信息!D:D,辅助信息!E:E=B1554)</f>
        <v>华西简阳西城嘉苑</v>
      </c>
    </row>
    <row r="1555" hidden="1" spans="1:18">
      <c r="A1555" s="82"/>
      <c r="B1555" s="40" t="s">
        <v>81</v>
      </c>
      <c r="C1555" s="70">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09" t="str">
        <f>VLOOKUP(B1555,辅助信息!E:J,6,FALSE)</f>
        <v>现场禁止使用氢能源挂车！优先威钢发货,我方卸车,新老国标钢厂不加价可直发，因陕钢多次出现磅差，项目拒绝使用</v>
      </c>
      <c r="M1555" s="91">
        <v>45787</v>
      </c>
      <c r="O1555" s="62">
        <f ca="1" t="shared" si="78"/>
        <v>0</v>
      </c>
      <c r="P1555" s="62">
        <f ca="1" t="shared" si="77"/>
        <v>173</v>
      </c>
      <c r="Q1555" s="29" t="str">
        <f>VLOOKUP(B1555,辅助信息!E:M,9,FALSE)</f>
        <v>ZTWM-CDGS-XS-2024-0030-华西集采-简州大道</v>
      </c>
      <c r="R1555" s="29" t="str">
        <f>_xlfn._xlws.FILTER(辅助信息!D:D,辅助信息!E:E=B1555)</f>
        <v>华西简阳西城嘉苑</v>
      </c>
    </row>
    <row r="1556" hidden="1" spans="1:18">
      <c r="A1556" s="82"/>
      <c r="B1556" s="40" t="s">
        <v>81</v>
      </c>
      <c r="C1556" s="70">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09" t="str">
        <f>VLOOKUP(B1556,辅助信息!E:J,6,FALSE)</f>
        <v>现场禁止使用氢能源挂车！优先威钢发货,我方卸车,新老国标钢厂不加价可直发，因陕钢多次出现磅差，项目拒绝使用</v>
      </c>
      <c r="M1556" s="91">
        <v>45787</v>
      </c>
      <c r="O1556" s="62">
        <f ca="1" t="shared" si="78"/>
        <v>0</v>
      </c>
      <c r="P1556" s="62">
        <f ca="1" t="shared" si="77"/>
        <v>173</v>
      </c>
      <c r="Q1556" s="29" t="str">
        <f>VLOOKUP(B1556,辅助信息!E:M,9,FALSE)</f>
        <v>ZTWM-CDGS-XS-2024-0030-华西集采-简州大道</v>
      </c>
      <c r="R1556" s="29" t="str">
        <f>_xlfn._xlws.FILTER(辅助信息!D:D,辅助信息!E:E=B1556)</f>
        <v>华西简阳西城嘉苑</v>
      </c>
    </row>
    <row r="1557" hidden="1" spans="1:18">
      <c r="A1557" s="82"/>
      <c r="B1557" s="40" t="s">
        <v>81</v>
      </c>
      <c r="C1557" s="70">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09" t="str">
        <f>VLOOKUP(B1557,辅助信息!E:J,6,FALSE)</f>
        <v>现场禁止使用氢能源挂车！优先威钢发货,我方卸车,新老国标钢厂不加价可直发，因陕钢多次出现磅差，项目拒绝使用</v>
      </c>
      <c r="M1557" s="91">
        <v>45787</v>
      </c>
      <c r="O1557" s="62">
        <f ca="1" t="shared" si="78"/>
        <v>0</v>
      </c>
      <c r="P1557" s="62">
        <f ca="1" t="shared" si="77"/>
        <v>173</v>
      </c>
      <c r="Q1557" s="29" t="str">
        <f>VLOOKUP(B1557,辅助信息!E:M,9,FALSE)</f>
        <v>ZTWM-CDGS-XS-2024-0030-华西集采-简州大道</v>
      </c>
      <c r="R1557" s="29" t="str">
        <f>_xlfn._xlws.FILTER(辅助信息!D:D,辅助信息!E:E=B1557)</f>
        <v>华西简阳西城嘉苑</v>
      </c>
    </row>
    <row r="1558" hidden="1" spans="1:18">
      <c r="A1558" s="82"/>
      <c r="B1558" s="40" t="s">
        <v>81</v>
      </c>
      <c r="C1558" s="70">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09" t="str">
        <f>VLOOKUP(B1558,辅助信息!E:J,6,FALSE)</f>
        <v>现场禁止使用氢能源挂车！优先威钢发货,我方卸车,新老国标钢厂不加价可直发，因陕钢多次出现磅差，项目拒绝使用</v>
      </c>
      <c r="M1558" s="91">
        <v>45787</v>
      </c>
      <c r="O1558" s="62">
        <f ca="1" t="shared" si="78"/>
        <v>0</v>
      </c>
      <c r="P1558" s="62">
        <f ca="1" t="shared" si="77"/>
        <v>173</v>
      </c>
      <c r="Q1558" s="29" t="str">
        <f>VLOOKUP(B1558,辅助信息!E:M,9,FALSE)</f>
        <v>ZTWM-CDGS-XS-2024-0030-华西集采-简州大道</v>
      </c>
      <c r="R1558" s="29" t="str">
        <f>_xlfn._xlws.FILTER(辅助信息!D:D,辅助信息!E:E=B1558)</f>
        <v>华西简阳西城嘉苑</v>
      </c>
    </row>
    <row r="1559" hidden="1" spans="1:18">
      <c r="A1559" s="82"/>
      <c r="B1559" s="40" t="s">
        <v>81</v>
      </c>
      <c r="C1559" s="70">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09" t="str">
        <f>VLOOKUP(B1559,辅助信息!E:J,6,FALSE)</f>
        <v>现场禁止使用氢能源挂车！优先威钢发货,我方卸车,新老国标钢厂不加价可直发，因陕钢多次出现磅差，项目拒绝使用</v>
      </c>
      <c r="M1559" s="91">
        <v>45788</v>
      </c>
      <c r="O1559" s="62">
        <f ca="1" t="shared" si="78"/>
        <v>0</v>
      </c>
      <c r="P1559" s="62">
        <f ca="1" t="shared" si="77"/>
        <v>172</v>
      </c>
      <c r="Q1559" s="29" t="str">
        <f>VLOOKUP(B1559,辅助信息!E:M,9,FALSE)</f>
        <v>ZTWM-CDGS-XS-2024-0030-华西集采-简州大道</v>
      </c>
      <c r="R1559" s="29" t="str">
        <f>_xlfn._xlws.FILTER(辅助信息!D:D,辅助信息!E:E=B1559)</f>
        <v>华西简阳西城嘉苑</v>
      </c>
    </row>
    <row r="1560" hidden="1" spans="1:18">
      <c r="A1560" s="82"/>
      <c r="B1560" s="40" t="s">
        <v>81</v>
      </c>
      <c r="C1560" s="70">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09" t="str">
        <f>VLOOKUP(B1560,辅助信息!E:J,6,FALSE)</f>
        <v>现场禁止使用氢能源挂车！优先威钢发货,我方卸车,新老国标钢厂不加价可直发，因陕钢多次出现磅差，项目拒绝使用</v>
      </c>
      <c r="M1560" s="91">
        <v>45788</v>
      </c>
      <c r="O1560" s="62">
        <f ca="1" t="shared" si="78"/>
        <v>0</v>
      </c>
      <c r="P1560" s="62">
        <f ca="1" t="shared" si="77"/>
        <v>172</v>
      </c>
      <c r="Q1560" s="29" t="str">
        <f>VLOOKUP(B1560,辅助信息!E:M,9,FALSE)</f>
        <v>ZTWM-CDGS-XS-2024-0030-华西集采-简州大道</v>
      </c>
      <c r="R1560" s="29" t="str">
        <f>_xlfn._xlws.FILTER(辅助信息!D:D,辅助信息!E:E=B1560)</f>
        <v>华西简阳西城嘉苑</v>
      </c>
    </row>
    <row r="1561" hidden="1" spans="2:18">
      <c r="B1561" s="40" t="s">
        <v>150</v>
      </c>
      <c r="C1561" s="70">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09" t="str">
        <f>VLOOKUP(B1561,辅助信息!E:J,6,FALSE)</f>
        <v>装货前联系收货人核实到场规格，货物最下面用方木垫下方便卸货</v>
      </c>
      <c r="M1561" s="91">
        <v>45792</v>
      </c>
      <c r="O1561" s="62">
        <f ca="1" t="shared" si="78"/>
        <v>0</v>
      </c>
      <c r="P1561" s="62">
        <f ca="1" t="shared" si="77"/>
        <v>168</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0">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09" t="str">
        <f>VLOOKUP(B1562,辅助信息!E:J,6,FALSE)</f>
        <v>装货前联系收货人核实到场规格，货物最下面用方木垫下方便卸货</v>
      </c>
      <c r="M1562" s="91">
        <v>45792</v>
      </c>
      <c r="O1562" s="62">
        <f ca="1" t="shared" si="78"/>
        <v>0</v>
      </c>
      <c r="P1562" s="62">
        <f ca="1" t="shared" si="77"/>
        <v>168</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0">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09" t="str">
        <f>VLOOKUP(B1563,辅助信息!E:J,6,FALSE)</f>
        <v>装货前联系收货人核实到场规格，货物最下面用方木垫下方便卸货</v>
      </c>
      <c r="M1563" s="91">
        <v>45792</v>
      </c>
      <c r="O1563" s="62">
        <f ca="1" t="shared" si="78"/>
        <v>0</v>
      </c>
      <c r="P1563" s="62">
        <f ca="1" t="shared" si="77"/>
        <v>168</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0">
        <v>45793</v>
      </c>
      <c r="D1564" s="120" t="str">
        <f>VLOOKUP(B1564,辅助信息!E:K,7,FALSE)</f>
        <v>JWDDCD2025051800046</v>
      </c>
      <c r="E1564" s="120" t="str">
        <f>VLOOKUP(F1564,辅助信息!A:B,2,FALSE)</f>
        <v>盘螺</v>
      </c>
      <c r="F1564" s="40" t="s">
        <v>40</v>
      </c>
      <c r="G1564" s="36">
        <v>25</v>
      </c>
      <c r="H1564" s="121">
        <f>_xlfn.XLOOKUP(C1564&amp;F1564&amp;I1564&amp;J1564,'[1]2025年已发货'!$F:$F&amp;'[1]2025年已发货'!$C:$C&amp;'[1]2025年已发货'!$G:$G&amp;'[1]2025年已发货'!$H:$H,'[1]2025年已发货'!$E:$E,"未发货")</f>
        <v>25</v>
      </c>
      <c r="I1564" s="120" t="str">
        <f>VLOOKUP(B1564,辅助信息!E:I,3,FALSE)</f>
        <v>（华西萌海科创农业生态谷）成都市简阳市白金山水库</v>
      </c>
      <c r="J1564" s="120" t="str">
        <f>VLOOKUP(B1564,辅助信息!E:I,4,FALSE)</f>
        <v>石清国</v>
      </c>
      <c r="K1564" s="120">
        <f>VLOOKUP(J1564,辅助信息!H:I,2,FALSE)</f>
        <v>13458642015</v>
      </c>
      <c r="L1564" s="122" t="str">
        <f>VLOOKUP(B1564,辅助信息!E:J,6,FALSE)</f>
        <v>优先威钢,我方卸车,新老国标钢厂不加价可直发</v>
      </c>
      <c r="M1564" s="91">
        <v>45794</v>
      </c>
      <c r="O1564" s="62">
        <f ca="1" t="shared" si="78"/>
        <v>0</v>
      </c>
      <c r="P1564" s="62">
        <f ca="1" t="shared" si="77"/>
        <v>166</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0">
        <v>45793</v>
      </c>
      <c r="D1565" s="120" t="str">
        <f>VLOOKUP(B1565,辅助信息!E:K,7,FALSE)</f>
        <v>JWDDCD2025051800046</v>
      </c>
      <c r="E1565" s="120" t="str">
        <f>VLOOKUP(F1565,辅助信息!A:B,2,FALSE)</f>
        <v>盘螺</v>
      </c>
      <c r="F1565" s="40" t="s">
        <v>41</v>
      </c>
      <c r="G1565" s="36">
        <v>10</v>
      </c>
      <c r="H1565" s="121">
        <f>_xlfn.XLOOKUP(C1565&amp;F1565&amp;I1565&amp;J1565,'[1]2025年已发货'!$F:$F&amp;'[1]2025年已发货'!$C:$C&amp;'[1]2025年已发货'!$G:$G&amp;'[1]2025年已发货'!$H:$H,'[1]2025年已发货'!$E:$E,"未发货")</f>
        <v>10</v>
      </c>
      <c r="I1565" s="120" t="str">
        <f>VLOOKUP(B1565,辅助信息!E:I,3,FALSE)</f>
        <v>（华西萌海科创农业生态谷）成都市简阳市白金山水库</v>
      </c>
      <c r="J1565" s="120" t="str">
        <f>VLOOKUP(B1565,辅助信息!E:I,4,FALSE)</f>
        <v>石清国</v>
      </c>
      <c r="K1565" s="120">
        <f>VLOOKUP(J1565,辅助信息!H:I,2,FALSE)</f>
        <v>13458642015</v>
      </c>
      <c r="L1565" s="122" t="str">
        <f>VLOOKUP(B1565,辅助信息!E:J,6,FALSE)</f>
        <v>优先威钢,我方卸车,新老国标钢厂不加价可直发</v>
      </c>
      <c r="M1565" s="91">
        <v>45794</v>
      </c>
      <c r="O1565" s="62">
        <f ca="1" t="shared" si="78"/>
        <v>0</v>
      </c>
      <c r="P1565" s="62">
        <f ca="1" t="shared" si="77"/>
        <v>166</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0">
        <v>45793</v>
      </c>
      <c r="D1566" s="120" t="str">
        <f>VLOOKUP(B1566,辅助信息!E:K,7,FALSE)</f>
        <v>JWDDCD2024101600090</v>
      </c>
      <c r="E1566" s="120" t="str">
        <f>VLOOKUP(F1566,辅助信息!A:B,2,FALSE)</f>
        <v>盘螺</v>
      </c>
      <c r="F1566" s="40" t="s">
        <v>49</v>
      </c>
      <c r="G1566" s="36">
        <v>14</v>
      </c>
      <c r="H1566" s="121">
        <f>_xlfn.XLOOKUP(C1566&amp;F1566&amp;I1566&amp;J1566,'[1]2025年已发货'!$F:$F&amp;'[1]2025年已发货'!$C:$C&amp;'[1]2025年已发货'!$G:$G&amp;'[1]2025年已发货'!$H:$H,'[1]2025年已发货'!$E:$E,"未发货")</f>
        <v>14</v>
      </c>
      <c r="I1566" s="120" t="str">
        <f>VLOOKUP(B1566,辅助信息!E:I,3,FALSE)</f>
        <v>（达州市公共卫生临床医疗中心项目-一标-1号制作房）达州市通川区西外复兴镇公共卫生临床医疗中心项目</v>
      </c>
      <c r="J1566" s="120" t="str">
        <f>VLOOKUP(B1566,辅助信息!E:I,4,FALSE)</f>
        <v>潘建发</v>
      </c>
      <c r="K1566" s="120">
        <f>VLOOKUP(J1566,辅助信息!H:I,2,FALSE)</f>
        <v>13658059919</v>
      </c>
      <c r="L1566" s="122" t="str">
        <f>VLOOKUP(B1566,辅助信息!E:J,6,FALSE)</f>
        <v>提前联系到场规格,一天到场车辆不低于2车</v>
      </c>
      <c r="M1566" s="91">
        <v>45793</v>
      </c>
      <c r="O1566" s="62">
        <f ca="1" t="shared" si="78"/>
        <v>0</v>
      </c>
      <c r="P1566" s="62">
        <f ca="1" t="shared" si="77"/>
        <v>167</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0">
        <v>45793</v>
      </c>
      <c r="D1567" s="120" t="str">
        <f>VLOOKUP(B1567,辅助信息!E:K,7,FALSE)</f>
        <v>JWDDCD2024101600090</v>
      </c>
      <c r="E1567" s="120" t="str">
        <f>VLOOKUP(F1567,辅助信息!A:B,2,FALSE)</f>
        <v>盘螺</v>
      </c>
      <c r="F1567" s="40" t="s">
        <v>41</v>
      </c>
      <c r="G1567" s="36">
        <v>7</v>
      </c>
      <c r="H1567" s="121">
        <f>_xlfn.XLOOKUP(C1567&amp;F1567&amp;I1567&amp;J1567,'[1]2025年已发货'!$F:$F&amp;'[1]2025年已发货'!$C:$C&amp;'[1]2025年已发货'!$G:$G&amp;'[1]2025年已发货'!$H:$H,'[1]2025年已发货'!$E:$E,"未发货")</f>
        <v>7</v>
      </c>
      <c r="I1567" s="120" t="str">
        <f>VLOOKUP(B1567,辅助信息!E:I,3,FALSE)</f>
        <v>（达州市公共卫生临床医疗中心项目-一标-1号制作房）达州市通川区西外复兴镇公共卫生临床医疗中心项目</v>
      </c>
      <c r="J1567" s="120" t="str">
        <f>VLOOKUP(B1567,辅助信息!E:I,4,FALSE)</f>
        <v>潘建发</v>
      </c>
      <c r="K1567" s="120">
        <f>VLOOKUP(J1567,辅助信息!H:I,2,FALSE)</f>
        <v>13658059919</v>
      </c>
      <c r="L1567" s="122" t="str">
        <f>VLOOKUP(B1567,辅助信息!E:J,6,FALSE)</f>
        <v>提前联系到场规格,一天到场车辆不低于2车</v>
      </c>
      <c r="M1567" s="91">
        <v>45793</v>
      </c>
      <c r="O1567" s="62">
        <f ca="1" t="shared" si="78"/>
        <v>0</v>
      </c>
      <c r="P1567" s="62">
        <f ca="1" t="shared" si="77"/>
        <v>167</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0">
        <v>45793</v>
      </c>
      <c r="D1568" s="120" t="str">
        <f>VLOOKUP(B1568,辅助信息!E:K,7,FALSE)</f>
        <v>JWDDCD2024101600090</v>
      </c>
      <c r="E1568" s="120" t="str">
        <f>VLOOKUP(F1568,辅助信息!A:B,2,FALSE)</f>
        <v>螺纹钢</v>
      </c>
      <c r="F1568" s="40" t="s">
        <v>27</v>
      </c>
      <c r="G1568" s="36">
        <v>2</v>
      </c>
      <c r="H1568" s="121">
        <f>_xlfn.XLOOKUP(C1568&amp;F1568&amp;I1568&amp;J1568,'[1]2025年已发货'!$F:$F&amp;'[1]2025年已发货'!$C:$C&amp;'[1]2025年已发货'!$G:$G&amp;'[1]2025年已发货'!$H:$H,'[1]2025年已发货'!$E:$E,"未发货")</f>
        <v>2</v>
      </c>
      <c r="I1568" s="120" t="str">
        <f>VLOOKUP(B1568,辅助信息!E:I,3,FALSE)</f>
        <v>（达州市公共卫生临床医疗中心项目-一标-1号制作房）达州市通川区西外复兴镇公共卫生临床医疗中心项目</v>
      </c>
      <c r="J1568" s="120" t="str">
        <f>VLOOKUP(B1568,辅助信息!E:I,4,FALSE)</f>
        <v>潘建发</v>
      </c>
      <c r="K1568" s="120">
        <f>VLOOKUP(J1568,辅助信息!H:I,2,FALSE)</f>
        <v>13658059919</v>
      </c>
      <c r="L1568" s="122" t="str">
        <f>VLOOKUP(B1568,辅助信息!E:J,6,FALSE)</f>
        <v>提前联系到场规格,一天到场车辆不低于2车</v>
      </c>
      <c r="M1568" s="91">
        <v>45793</v>
      </c>
      <c r="O1568" s="62">
        <f ca="1" t="shared" si="78"/>
        <v>0</v>
      </c>
      <c r="P1568" s="62">
        <f ca="1" t="shared" si="77"/>
        <v>167</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0">
        <v>45793</v>
      </c>
      <c r="D1569" s="120" t="str">
        <f>VLOOKUP(B1569,辅助信息!E:K,7,FALSE)</f>
        <v>JWDDCD2024101600090</v>
      </c>
      <c r="E1569" s="120" t="str">
        <f>VLOOKUP(F1569,辅助信息!A:B,2,FALSE)</f>
        <v>螺纹钢</v>
      </c>
      <c r="F1569" s="40" t="s">
        <v>19</v>
      </c>
      <c r="G1569" s="36">
        <v>2</v>
      </c>
      <c r="H1569" s="121">
        <f>_xlfn.XLOOKUP(C1569&amp;F1569&amp;I1569&amp;J1569,'[1]2025年已发货'!$F:$F&amp;'[1]2025年已发货'!$C:$C&amp;'[1]2025年已发货'!$G:$G&amp;'[1]2025年已发货'!$H:$H,'[1]2025年已发货'!$E:$E,"未发货")</f>
        <v>2</v>
      </c>
      <c r="I1569" s="120" t="str">
        <f>VLOOKUP(B1569,辅助信息!E:I,3,FALSE)</f>
        <v>（达州市公共卫生临床医疗中心项目-一标-1号制作房）达州市通川区西外复兴镇公共卫生临床医疗中心项目</v>
      </c>
      <c r="J1569" s="120" t="str">
        <f>VLOOKUP(B1569,辅助信息!E:I,4,FALSE)</f>
        <v>潘建发</v>
      </c>
      <c r="K1569" s="120">
        <f>VLOOKUP(J1569,辅助信息!H:I,2,FALSE)</f>
        <v>13658059919</v>
      </c>
      <c r="L1569" s="122" t="str">
        <f>VLOOKUP(B1569,辅助信息!E:J,6,FALSE)</f>
        <v>提前联系到场规格,一天到场车辆不低于2车</v>
      </c>
      <c r="M1569" s="91">
        <v>45793</v>
      </c>
      <c r="O1569" s="62">
        <f ca="1" t="shared" si="78"/>
        <v>0</v>
      </c>
      <c r="P1569" s="62">
        <f ca="1" t="shared" si="77"/>
        <v>167</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0">
        <v>45793</v>
      </c>
      <c r="D1570" s="120" t="str">
        <f>VLOOKUP(B1570,辅助信息!E:K,7,FALSE)</f>
        <v>JWDDCD2025051000019</v>
      </c>
      <c r="E1570" s="120" t="str">
        <f>VLOOKUP(F1570,辅助信息!A:B,2,FALSE)</f>
        <v>螺纹钢</v>
      </c>
      <c r="F1570" s="40" t="s">
        <v>19</v>
      </c>
      <c r="G1570" s="36">
        <v>35</v>
      </c>
      <c r="H1570" s="121">
        <f>_xlfn.XLOOKUP(C1570&amp;F1570&amp;I1570&amp;J1570,'[1]2025年已发货'!$F:$F&amp;'[1]2025年已发货'!$C:$C&amp;'[1]2025年已发货'!$G:$G&amp;'[1]2025年已发货'!$H:$H,'[1]2025年已发货'!$E:$E,"未发货")</f>
        <v>35</v>
      </c>
      <c r="I1570" s="120" t="str">
        <f>VLOOKUP(B1570,辅助信息!E:I,3,FALSE)</f>
        <v>(五冶钢构医学科学产业园建设项目房建一部-四标（3-7）)四川省南充市顺庆区搬罾街道学府大道二段</v>
      </c>
      <c r="J1570" s="120" t="str">
        <f>VLOOKUP(B1570,辅助信息!E:I,4,FALSE)</f>
        <v>胡泽宇</v>
      </c>
      <c r="K1570" s="120">
        <f>VLOOKUP(J1570,辅助信息!H:I,2,FALSE)</f>
        <v>18141337338</v>
      </c>
      <c r="L1570" s="122" t="str">
        <f>VLOOKUP(B1570,辅助信息!E:J,6,FALSE)</f>
        <v>送货单：送货单位：南充思临新材料科技有限公司,收货单位：五冶集团川北(南充)建设有限公司,项目名称：南充医学科学产业园,送货车型13米,装货前联系收货人核实到场规格</v>
      </c>
      <c r="M1570" s="91">
        <v>45793</v>
      </c>
      <c r="O1570" s="62">
        <f ca="1" t="shared" ref="O1570:O1591" si="79">IF(OR(M1570="",N1570&lt;&gt;""),"",MAX(M1570-TODAY(),0))</f>
        <v>0</v>
      </c>
      <c r="P1570" s="62">
        <f ca="1" t="shared" ref="P1570:P1591" si="80">IF(M1570="","",IF(N1570&lt;&gt;"",MAX(N1570-M1570,0),IF(TODAY()&gt;M1570,TODAY()-M1570,0)))</f>
        <v>167</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0">
        <v>45793</v>
      </c>
      <c r="D1571" s="120" t="str">
        <f>VLOOKUP(B1571,辅助信息!E:K,7,FALSE)</f>
        <v>JWDDCD2025060900080</v>
      </c>
      <c r="E1571" s="120" t="str">
        <f>VLOOKUP(F1571,辅助信息!A:B,2,FALSE)</f>
        <v>盘螺</v>
      </c>
      <c r="F1571" s="40" t="s">
        <v>49</v>
      </c>
      <c r="G1571" s="36">
        <v>2.5</v>
      </c>
      <c r="H1571" s="121" t="str">
        <f>_xlfn.XLOOKUP(C1571&amp;F1571&amp;I1571&amp;J1571,'[1]2025年已发货'!$F:$F&amp;'[1]2025年已发货'!$C:$C&amp;'[1]2025年已发货'!$G:$G&amp;'[1]2025年已发货'!$H:$H,'[1]2025年已发货'!$E:$E,"未发货")</f>
        <v>未发货</v>
      </c>
      <c r="I1571" s="120" t="str">
        <f>VLOOKUP(B1571,辅助信息!E:I,3,FALSE)</f>
        <v>（华西简阳西城嘉苑）四川省成都市简阳市简城街道高屋村</v>
      </c>
      <c r="J1571" s="120" t="str">
        <f>VLOOKUP(B1571,辅助信息!E:I,4,FALSE)</f>
        <v>张瀚镭</v>
      </c>
      <c r="K1571" s="120">
        <f>VLOOKUP(J1571,辅助信息!H:I,2,FALSE)</f>
        <v>15884666220</v>
      </c>
      <c r="L1571" s="122" t="str">
        <f>VLOOKUP(B1571,辅助信息!E:J,6,FALSE)</f>
        <v>现场禁止使用氢能源挂车！优先威钢发货,我方卸车,新老国标钢厂不加价可直发，因陕钢多次出现磅差，项目拒绝使用</v>
      </c>
      <c r="M1571" s="91">
        <v>45797</v>
      </c>
      <c r="O1571" s="62">
        <f ca="1" t="shared" si="79"/>
        <v>0</v>
      </c>
      <c r="P1571" s="62">
        <f ca="1" t="shared" si="80"/>
        <v>163</v>
      </c>
      <c r="Q1571" s="29" t="str">
        <f>VLOOKUP(B1571,辅助信息!E:M,9,FALSE)</f>
        <v>ZTWM-CDGS-XS-2024-0030-华西集采-简州大道</v>
      </c>
      <c r="R1571" s="29" t="str">
        <f>_xlfn._xlws.FILTER(辅助信息!D:D,辅助信息!E:E=B1571)</f>
        <v>华西简阳西城嘉苑</v>
      </c>
    </row>
    <row r="1572" hidden="1" spans="2:18">
      <c r="B1572" s="40" t="s">
        <v>81</v>
      </c>
      <c r="C1572" s="70">
        <v>45793</v>
      </c>
      <c r="D1572" s="120" t="str">
        <f>VLOOKUP(B1572,辅助信息!E:K,7,FALSE)</f>
        <v>JWDDCD2025060900080</v>
      </c>
      <c r="E1572" s="120" t="str">
        <f>VLOOKUP(F1572,辅助信息!A:B,2,FALSE)</f>
        <v>盘螺</v>
      </c>
      <c r="F1572" s="40" t="s">
        <v>40</v>
      </c>
      <c r="G1572" s="36">
        <v>17</v>
      </c>
      <c r="H1572" s="121" t="str">
        <f>_xlfn.XLOOKUP(C1572&amp;F1572&amp;I1572&amp;J1572,'[1]2025年已发货'!$F:$F&amp;'[1]2025年已发货'!$C:$C&amp;'[1]2025年已发货'!$G:$G&amp;'[1]2025年已发货'!$H:$H,'[1]2025年已发货'!$E:$E,"未发货")</f>
        <v>未发货</v>
      </c>
      <c r="I1572" s="120" t="str">
        <f>VLOOKUP(B1572,辅助信息!E:I,3,FALSE)</f>
        <v>（华西简阳西城嘉苑）四川省成都市简阳市简城街道高屋村</v>
      </c>
      <c r="J1572" s="120" t="str">
        <f>VLOOKUP(B1572,辅助信息!E:I,4,FALSE)</f>
        <v>张瀚镭</v>
      </c>
      <c r="K1572" s="120">
        <f>VLOOKUP(J1572,辅助信息!H:I,2,FALSE)</f>
        <v>15884666220</v>
      </c>
      <c r="L1572" s="122" t="str">
        <f>VLOOKUP(B1572,辅助信息!E:J,6,FALSE)</f>
        <v>现场禁止使用氢能源挂车！优先威钢发货,我方卸车,新老国标钢厂不加价可直发，因陕钢多次出现磅差，项目拒绝使用</v>
      </c>
      <c r="M1572" s="91">
        <v>45797</v>
      </c>
      <c r="O1572" s="62">
        <f ca="1" t="shared" si="79"/>
        <v>0</v>
      </c>
      <c r="P1572" s="62">
        <f ca="1" t="shared" si="80"/>
        <v>163</v>
      </c>
      <c r="Q1572" s="29" t="str">
        <f>VLOOKUP(B1572,辅助信息!E:M,9,FALSE)</f>
        <v>ZTWM-CDGS-XS-2024-0030-华西集采-简州大道</v>
      </c>
      <c r="R1572" s="29" t="str">
        <f>_xlfn._xlws.FILTER(辅助信息!D:D,辅助信息!E:E=B1572)</f>
        <v>华西简阳西城嘉苑</v>
      </c>
    </row>
    <row r="1573" hidden="1" spans="2:18">
      <c r="B1573" s="40" t="s">
        <v>81</v>
      </c>
      <c r="C1573" s="70">
        <v>45793</v>
      </c>
      <c r="D1573" s="120" t="str">
        <f>VLOOKUP(B1573,辅助信息!E:K,7,FALSE)</f>
        <v>JWDDCD2025060900080</v>
      </c>
      <c r="E1573" s="120" t="str">
        <f>VLOOKUP(F1573,辅助信息!A:B,2,FALSE)</f>
        <v>盘螺</v>
      </c>
      <c r="F1573" s="40" t="s">
        <v>26</v>
      </c>
      <c r="G1573" s="36">
        <v>35</v>
      </c>
      <c r="H1573" s="121" t="str">
        <f>_xlfn.XLOOKUP(C1573&amp;F1573&amp;I1573&amp;J1573,'[1]2025年已发货'!$F:$F&amp;'[1]2025年已发货'!$C:$C&amp;'[1]2025年已发货'!$G:$G&amp;'[1]2025年已发货'!$H:$H,'[1]2025年已发货'!$E:$E,"未发货")</f>
        <v>未发货</v>
      </c>
      <c r="I1573" s="120" t="str">
        <f>VLOOKUP(B1573,辅助信息!E:I,3,FALSE)</f>
        <v>（华西简阳西城嘉苑）四川省成都市简阳市简城街道高屋村</v>
      </c>
      <c r="J1573" s="120" t="str">
        <f>VLOOKUP(B1573,辅助信息!E:I,4,FALSE)</f>
        <v>张瀚镭</v>
      </c>
      <c r="K1573" s="120">
        <f>VLOOKUP(J1573,辅助信息!H:I,2,FALSE)</f>
        <v>15884666220</v>
      </c>
      <c r="L1573" s="122" t="str">
        <f>VLOOKUP(B1573,辅助信息!E:J,6,FALSE)</f>
        <v>现场禁止使用氢能源挂车！优先威钢发货,我方卸车,新老国标钢厂不加价可直发，因陕钢多次出现磅差，项目拒绝使用</v>
      </c>
      <c r="M1573" s="91">
        <v>45797</v>
      </c>
      <c r="O1573" s="62">
        <f ca="1" t="shared" si="79"/>
        <v>0</v>
      </c>
      <c r="P1573" s="62">
        <f ca="1" t="shared" si="80"/>
        <v>163</v>
      </c>
      <c r="Q1573" s="29" t="str">
        <f>VLOOKUP(B1573,辅助信息!E:M,9,FALSE)</f>
        <v>ZTWM-CDGS-XS-2024-0030-华西集采-简州大道</v>
      </c>
      <c r="R1573" s="29" t="str">
        <f>_xlfn._xlws.FILTER(辅助信息!D:D,辅助信息!E:E=B1573)</f>
        <v>华西简阳西城嘉苑</v>
      </c>
    </row>
    <row r="1574" hidden="1" spans="2:18">
      <c r="B1574" s="40" t="s">
        <v>81</v>
      </c>
      <c r="C1574" s="70">
        <v>45793</v>
      </c>
      <c r="D1574" s="120" t="str">
        <f>VLOOKUP(B1574,辅助信息!E:K,7,FALSE)</f>
        <v>JWDDCD2025060900080</v>
      </c>
      <c r="E1574" s="120" t="str">
        <f>VLOOKUP(F1574,辅助信息!A:B,2,FALSE)</f>
        <v>螺纹钢</v>
      </c>
      <c r="F1574" s="40" t="s">
        <v>19</v>
      </c>
      <c r="G1574" s="36">
        <v>7</v>
      </c>
      <c r="H1574" s="121">
        <f>_xlfn.XLOOKUP(C1574&amp;F1574&amp;I1574&amp;J1574,'[1]2025年已发货'!$F:$F&amp;'[1]2025年已发货'!$C:$C&amp;'[1]2025年已发货'!$G:$G&amp;'[1]2025年已发货'!$H:$H,'[1]2025年已发货'!$E:$E,"未发货")</f>
        <v>6</v>
      </c>
      <c r="I1574" s="120" t="str">
        <f>VLOOKUP(B1574,辅助信息!E:I,3,FALSE)</f>
        <v>（华西简阳西城嘉苑）四川省成都市简阳市简城街道高屋村</v>
      </c>
      <c r="J1574" s="120" t="str">
        <f>VLOOKUP(B1574,辅助信息!E:I,4,FALSE)</f>
        <v>张瀚镭</v>
      </c>
      <c r="K1574" s="120">
        <f>VLOOKUP(J1574,辅助信息!H:I,2,FALSE)</f>
        <v>15884666220</v>
      </c>
      <c r="L1574" s="122" t="str">
        <f>VLOOKUP(B1574,辅助信息!E:J,6,FALSE)</f>
        <v>现场禁止使用氢能源挂车！优先威钢发货,我方卸车,新老国标钢厂不加价可直发，因陕钢多次出现磅差，项目拒绝使用</v>
      </c>
      <c r="M1574" s="91">
        <v>45797</v>
      </c>
      <c r="O1574" s="62">
        <f ca="1" t="shared" si="79"/>
        <v>0</v>
      </c>
      <c r="P1574" s="62">
        <f ca="1" t="shared" si="80"/>
        <v>163</v>
      </c>
      <c r="Q1574" s="29" t="str">
        <f>VLOOKUP(B1574,辅助信息!E:M,9,FALSE)</f>
        <v>ZTWM-CDGS-XS-2024-0030-华西集采-简州大道</v>
      </c>
      <c r="R1574" s="29" t="str">
        <f>_xlfn._xlws.FILTER(辅助信息!D:D,辅助信息!E:E=B1574)</f>
        <v>华西简阳西城嘉苑</v>
      </c>
    </row>
    <row r="1575" hidden="1" spans="2:18">
      <c r="B1575" s="40" t="s">
        <v>81</v>
      </c>
      <c r="C1575" s="70">
        <v>45793</v>
      </c>
      <c r="D1575" s="120" t="str">
        <f>VLOOKUP(B1575,辅助信息!E:K,7,FALSE)</f>
        <v>JWDDCD2025060900080</v>
      </c>
      <c r="E1575" s="120" t="str">
        <f>VLOOKUP(F1575,辅助信息!A:B,2,FALSE)</f>
        <v>螺纹钢</v>
      </c>
      <c r="F1575" s="40" t="s">
        <v>32</v>
      </c>
      <c r="G1575" s="36">
        <v>18</v>
      </c>
      <c r="H1575" s="121">
        <f>_xlfn.XLOOKUP(C1575&amp;F1575&amp;I1575&amp;J1575,'[1]2025年已发货'!$F:$F&amp;'[1]2025年已发货'!$C:$C&amp;'[1]2025年已发货'!$G:$G&amp;'[1]2025年已发货'!$H:$H,'[1]2025年已发货'!$E:$E,"未发货")</f>
        <v>15</v>
      </c>
      <c r="I1575" s="120" t="str">
        <f>VLOOKUP(B1575,辅助信息!E:I,3,FALSE)</f>
        <v>（华西简阳西城嘉苑）四川省成都市简阳市简城街道高屋村</v>
      </c>
      <c r="J1575" s="120" t="str">
        <f>VLOOKUP(B1575,辅助信息!E:I,4,FALSE)</f>
        <v>张瀚镭</v>
      </c>
      <c r="K1575" s="120">
        <f>VLOOKUP(J1575,辅助信息!H:I,2,FALSE)</f>
        <v>15884666220</v>
      </c>
      <c r="L1575" s="122" t="str">
        <f>VLOOKUP(B1575,辅助信息!E:J,6,FALSE)</f>
        <v>现场禁止使用氢能源挂车！优先威钢发货,我方卸车,新老国标钢厂不加价可直发，因陕钢多次出现磅差，项目拒绝使用</v>
      </c>
      <c r="M1575" s="91">
        <v>45797</v>
      </c>
      <c r="O1575" s="62">
        <f ca="1" t="shared" si="79"/>
        <v>0</v>
      </c>
      <c r="P1575" s="62">
        <f ca="1" t="shared" si="80"/>
        <v>163</v>
      </c>
      <c r="Q1575" s="29" t="str">
        <f>VLOOKUP(B1575,辅助信息!E:M,9,FALSE)</f>
        <v>ZTWM-CDGS-XS-2024-0030-华西集采-简州大道</v>
      </c>
      <c r="R1575" s="29" t="str">
        <f>_xlfn._xlws.FILTER(辅助信息!D:D,辅助信息!E:E=B1575)</f>
        <v>华西简阳西城嘉苑</v>
      </c>
    </row>
    <row r="1576" hidden="1" spans="2:18">
      <c r="B1576" s="40" t="s">
        <v>81</v>
      </c>
      <c r="C1576" s="70">
        <v>45793</v>
      </c>
      <c r="D1576" s="120" t="str">
        <f>VLOOKUP(B1576,辅助信息!E:K,7,FALSE)</f>
        <v>JWDDCD2025060900080</v>
      </c>
      <c r="E1576" s="120" t="str">
        <f>VLOOKUP(F1576,辅助信息!A:B,2,FALSE)</f>
        <v>螺纹钢</v>
      </c>
      <c r="F1576" s="40" t="s">
        <v>30</v>
      </c>
      <c r="G1576" s="36">
        <v>9</v>
      </c>
      <c r="H1576" s="121">
        <f>_xlfn.XLOOKUP(C1576&amp;F1576&amp;I1576&amp;J1576,'[1]2025年已发货'!$F:$F&amp;'[1]2025年已发货'!$C:$C&amp;'[1]2025年已发货'!$G:$G&amp;'[1]2025年已发货'!$H:$H,'[1]2025年已发货'!$E:$E,"未发货")</f>
        <v>9</v>
      </c>
      <c r="I1576" s="120" t="str">
        <f>VLOOKUP(B1576,辅助信息!E:I,3,FALSE)</f>
        <v>（华西简阳西城嘉苑）四川省成都市简阳市简城街道高屋村</v>
      </c>
      <c r="J1576" s="120" t="str">
        <f>VLOOKUP(B1576,辅助信息!E:I,4,FALSE)</f>
        <v>张瀚镭</v>
      </c>
      <c r="K1576" s="120">
        <f>VLOOKUP(J1576,辅助信息!H:I,2,FALSE)</f>
        <v>15884666220</v>
      </c>
      <c r="L1576" s="122" t="str">
        <f>VLOOKUP(B1576,辅助信息!E:J,6,FALSE)</f>
        <v>现场禁止使用氢能源挂车！优先威钢发货,我方卸车,新老国标钢厂不加价可直发，因陕钢多次出现磅差，项目拒绝使用</v>
      </c>
      <c r="M1576" s="91">
        <v>45797</v>
      </c>
      <c r="O1576" s="62">
        <f ca="1" t="shared" si="79"/>
        <v>0</v>
      </c>
      <c r="P1576" s="62">
        <f ca="1" t="shared" si="80"/>
        <v>163</v>
      </c>
      <c r="Q1576" s="29" t="str">
        <f>VLOOKUP(B1576,辅助信息!E:M,9,FALSE)</f>
        <v>ZTWM-CDGS-XS-2024-0030-华西集采-简州大道</v>
      </c>
      <c r="R1576" s="29" t="str">
        <f>_xlfn._xlws.FILTER(辅助信息!D:D,辅助信息!E:E=B1576)</f>
        <v>华西简阳西城嘉苑</v>
      </c>
    </row>
    <row r="1577" hidden="1" spans="2:18">
      <c r="B1577" s="40" t="s">
        <v>81</v>
      </c>
      <c r="C1577" s="70">
        <v>45793</v>
      </c>
      <c r="D1577" s="120" t="str">
        <f>VLOOKUP(B1577,辅助信息!E:K,7,FALSE)</f>
        <v>JWDDCD2025060900080</v>
      </c>
      <c r="E1577" s="120" t="str">
        <f>VLOOKUP(F1577,辅助信息!A:B,2,FALSE)</f>
        <v>螺纹钢</v>
      </c>
      <c r="F1577" s="40" t="s">
        <v>33</v>
      </c>
      <c r="G1577" s="36">
        <v>7</v>
      </c>
      <c r="H1577" s="121">
        <f>_xlfn.XLOOKUP(C1577&amp;F1577&amp;I1577&amp;J1577,'[1]2025年已发货'!$F:$F&amp;'[1]2025年已发货'!$C:$C&amp;'[1]2025年已发货'!$G:$G&amp;'[1]2025年已发货'!$H:$H,'[1]2025年已发货'!$E:$E,"未发货")</f>
        <v>6</v>
      </c>
      <c r="I1577" s="120" t="str">
        <f>VLOOKUP(B1577,辅助信息!E:I,3,FALSE)</f>
        <v>（华西简阳西城嘉苑）四川省成都市简阳市简城街道高屋村</v>
      </c>
      <c r="J1577" s="120" t="str">
        <f>VLOOKUP(B1577,辅助信息!E:I,4,FALSE)</f>
        <v>张瀚镭</v>
      </c>
      <c r="K1577" s="120">
        <f>VLOOKUP(J1577,辅助信息!H:I,2,FALSE)</f>
        <v>15884666220</v>
      </c>
      <c r="L1577" s="122" t="str">
        <f>VLOOKUP(B1577,辅助信息!E:J,6,FALSE)</f>
        <v>现场禁止使用氢能源挂车！优先威钢发货,我方卸车,新老国标钢厂不加价可直发，因陕钢多次出现磅差，项目拒绝使用</v>
      </c>
      <c r="M1577" s="91">
        <v>45797</v>
      </c>
      <c r="O1577" s="62">
        <f ca="1" t="shared" si="79"/>
        <v>0</v>
      </c>
      <c r="P1577" s="62">
        <f ca="1" t="shared" si="80"/>
        <v>163</v>
      </c>
      <c r="Q1577" s="29" t="str">
        <f>VLOOKUP(B1577,辅助信息!E:M,9,FALSE)</f>
        <v>ZTWM-CDGS-XS-2024-0030-华西集采-简州大道</v>
      </c>
      <c r="R1577" s="29" t="str">
        <f>_xlfn._xlws.FILTER(辅助信息!D:D,辅助信息!E:E=B1577)</f>
        <v>华西简阳西城嘉苑</v>
      </c>
    </row>
    <row r="1578" hidden="1" spans="2:18">
      <c r="B1578" s="40" t="s">
        <v>81</v>
      </c>
      <c r="C1578" s="70">
        <v>45793</v>
      </c>
      <c r="D1578" s="120" t="str">
        <f>VLOOKUP(B1578,辅助信息!E:K,7,FALSE)</f>
        <v>JWDDCD2025060900080</v>
      </c>
      <c r="E1578" s="120" t="str">
        <f>VLOOKUP(F1578,辅助信息!A:B,2,FALSE)</f>
        <v>螺纹钢</v>
      </c>
      <c r="F1578" s="40" t="s">
        <v>28</v>
      </c>
      <c r="G1578" s="36">
        <v>2.5</v>
      </c>
      <c r="H1578" s="121">
        <f>_xlfn.XLOOKUP(C1578&amp;F1578&amp;I1578&amp;J1578,'[1]2025年已发货'!$F:$F&amp;'[1]2025年已发货'!$C:$C&amp;'[1]2025年已发货'!$G:$G&amp;'[1]2025年已发货'!$H:$H,'[1]2025年已发货'!$E:$E,"未发货")</f>
        <v>3</v>
      </c>
      <c r="I1578" s="120" t="str">
        <f>VLOOKUP(B1578,辅助信息!E:I,3,FALSE)</f>
        <v>（华西简阳西城嘉苑）四川省成都市简阳市简城街道高屋村</v>
      </c>
      <c r="J1578" s="120" t="str">
        <f>VLOOKUP(B1578,辅助信息!E:I,4,FALSE)</f>
        <v>张瀚镭</v>
      </c>
      <c r="K1578" s="120">
        <f>VLOOKUP(J1578,辅助信息!H:I,2,FALSE)</f>
        <v>15884666220</v>
      </c>
      <c r="L1578" s="122" t="str">
        <f>VLOOKUP(B1578,辅助信息!E:J,6,FALSE)</f>
        <v>现场禁止使用氢能源挂车！优先威钢发货,我方卸车,新老国标钢厂不加价可直发，因陕钢多次出现磅差，项目拒绝使用</v>
      </c>
      <c r="M1578" s="91">
        <v>45797</v>
      </c>
      <c r="O1578" s="62">
        <f ca="1" t="shared" si="79"/>
        <v>0</v>
      </c>
      <c r="P1578" s="62">
        <f ca="1" t="shared" si="80"/>
        <v>163</v>
      </c>
      <c r="Q1578" s="29" t="str">
        <f>VLOOKUP(B1578,辅助信息!E:M,9,FALSE)</f>
        <v>ZTWM-CDGS-XS-2024-0030-华西集采-简州大道</v>
      </c>
      <c r="R1578" s="29" t="str">
        <f>_xlfn._xlws.FILTER(辅助信息!D:D,辅助信息!E:E=B1578)</f>
        <v>华西简阳西城嘉苑</v>
      </c>
    </row>
    <row r="1579" hidden="1" spans="2:18">
      <c r="B1579" s="40" t="s">
        <v>81</v>
      </c>
      <c r="C1579" s="70">
        <v>45793</v>
      </c>
      <c r="D1579" s="120" t="str">
        <f>VLOOKUP(B1579,辅助信息!E:K,7,FALSE)</f>
        <v>JWDDCD2025060900080</v>
      </c>
      <c r="E1579" s="120" t="str">
        <f>VLOOKUP(F1579,辅助信息!A:B,2,FALSE)</f>
        <v>螺纹钢</v>
      </c>
      <c r="F1579" s="40" t="s">
        <v>18</v>
      </c>
      <c r="G1579" s="36">
        <v>2.5</v>
      </c>
      <c r="H1579" s="121">
        <f>_xlfn.XLOOKUP(C1579&amp;F1579&amp;I1579&amp;J1579,'[1]2025年已发货'!$F:$F&amp;'[1]2025年已发货'!$C:$C&amp;'[1]2025年已发货'!$G:$G&amp;'[1]2025年已发货'!$H:$H,'[1]2025年已发货'!$E:$E,"未发货")</f>
        <v>3</v>
      </c>
      <c r="I1579" s="120" t="str">
        <f>VLOOKUP(B1579,辅助信息!E:I,3,FALSE)</f>
        <v>（华西简阳西城嘉苑）四川省成都市简阳市简城街道高屋村</v>
      </c>
      <c r="J1579" s="120" t="str">
        <f>VLOOKUP(B1579,辅助信息!E:I,4,FALSE)</f>
        <v>张瀚镭</v>
      </c>
      <c r="K1579" s="120">
        <f>VLOOKUP(J1579,辅助信息!H:I,2,FALSE)</f>
        <v>15884666220</v>
      </c>
      <c r="L1579" s="122" t="str">
        <f>VLOOKUP(B1579,辅助信息!E:J,6,FALSE)</f>
        <v>现场禁止使用氢能源挂车！优先威钢发货,我方卸车,新老国标钢厂不加价可直发，因陕钢多次出现磅差，项目拒绝使用</v>
      </c>
      <c r="M1579" s="91">
        <v>45797</v>
      </c>
      <c r="O1579" s="62">
        <f ca="1" t="shared" si="79"/>
        <v>0</v>
      </c>
      <c r="P1579" s="62">
        <f ca="1" t="shared" si="80"/>
        <v>163</v>
      </c>
      <c r="Q1579" s="29" t="str">
        <f>VLOOKUP(B1579,辅助信息!E:M,9,FALSE)</f>
        <v>ZTWM-CDGS-XS-2024-0030-华西集采-简州大道</v>
      </c>
      <c r="R1579" s="29" t="str">
        <f>_xlfn._xlws.FILTER(辅助信息!D:D,辅助信息!E:E=B1579)</f>
        <v>华西简阳西城嘉苑</v>
      </c>
    </row>
    <row r="1580" hidden="1" spans="2:18">
      <c r="B1580" s="40" t="s">
        <v>81</v>
      </c>
      <c r="C1580" s="70">
        <v>45793</v>
      </c>
      <c r="D1580" s="120" t="str">
        <f>VLOOKUP(B1580,辅助信息!E:K,7,FALSE)</f>
        <v>JWDDCD2025060900080</v>
      </c>
      <c r="E1580" s="120" t="str">
        <f>VLOOKUP(F1580,辅助信息!A:B,2,FALSE)</f>
        <v>螺纹钢</v>
      </c>
      <c r="F1580" s="40" t="s">
        <v>66</v>
      </c>
      <c r="G1580" s="36">
        <v>2.5</v>
      </c>
      <c r="H1580" s="121">
        <f>_xlfn.XLOOKUP(C1580&amp;F1580&amp;I1580&amp;J1580,'[1]2025年已发货'!$F:$F&amp;'[1]2025年已发货'!$C:$C&amp;'[1]2025年已发货'!$G:$G&amp;'[1]2025年已发货'!$H:$H,'[1]2025年已发货'!$E:$E,"未发货")</f>
        <v>3</v>
      </c>
      <c r="I1580" s="120" t="str">
        <f>VLOOKUP(B1580,辅助信息!E:I,3,FALSE)</f>
        <v>（华西简阳西城嘉苑）四川省成都市简阳市简城街道高屋村</v>
      </c>
      <c r="J1580" s="120" t="str">
        <f>VLOOKUP(B1580,辅助信息!E:I,4,FALSE)</f>
        <v>张瀚镭</v>
      </c>
      <c r="K1580" s="120">
        <f>VLOOKUP(J1580,辅助信息!H:I,2,FALSE)</f>
        <v>15884666220</v>
      </c>
      <c r="L1580" s="122" t="str">
        <f>VLOOKUP(B1580,辅助信息!E:J,6,FALSE)</f>
        <v>现场禁止使用氢能源挂车！优先威钢发货,我方卸车,新老国标钢厂不加价可直发，因陕钢多次出现磅差，项目拒绝使用</v>
      </c>
      <c r="M1580" s="91">
        <v>45797</v>
      </c>
      <c r="O1580" s="62">
        <f ca="1" t="shared" si="79"/>
        <v>0</v>
      </c>
      <c r="P1580" s="62">
        <f ca="1" t="shared" si="80"/>
        <v>163</v>
      </c>
      <c r="Q1580" s="29" t="str">
        <f>VLOOKUP(B1580,辅助信息!E:M,9,FALSE)</f>
        <v>ZTWM-CDGS-XS-2024-0030-华西集采-简州大道</v>
      </c>
      <c r="R1580" s="29" t="str">
        <f>_xlfn._xlws.FILTER(辅助信息!D:D,辅助信息!E:E=B1580)</f>
        <v>华西简阳西城嘉苑</v>
      </c>
    </row>
    <row r="1581" hidden="1" spans="2:18">
      <c r="B1581" s="40" t="s">
        <v>81</v>
      </c>
      <c r="C1581" s="70">
        <v>45793</v>
      </c>
      <c r="D1581" s="120" t="str">
        <f>VLOOKUP(B1581,辅助信息!E:K,7,FALSE)</f>
        <v>JWDDCD2025060900080</v>
      </c>
      <c r="E1581" s="120" t="str">
        <f>VLOOKUP(F1581,辅助信息!A:B,2,FALSE)</f>
        <v>螺纹钢</v>
      </c>
      <c r="F1581" s="40" t="s">
        <v>82</v>
      </c>
      <c r="G1581" s="36">
        <v>2.5</v>
      </c>
      <c r="H1581" s="121">
        <f>_xlfn.XLOOKUP(C1581&amp;F1581&amp;I1581&amp;J1581,'[1]2025年已发货'!$F:$F&amp;'[1]2025年已发货'!$C:$C&amp;'[1]2025年已发货'!$G:$G&amp;'[1]2025年已发货'!$H:$H,'[1]2025年已发货'!$E:$E,"未发货")</f>
        <v>3</v>
      </c>
      <c r="I1581" s="120" t="str">
        <f>VLOOKUP(B1581,辅助信息!E:I,3,FALSE)</f>
        <v>（华西简阳西城嘉苑）四川省成都市简阳市简城街道高屋村</v>
      </c>
      <c r="J1581" s="120" t="str">
        <f>VLOOKUP(B1581,辅助信息!E:I,4,FALSE)</f>
        <v>张瀚镭</v>
      </c>
      <c r="K1581" s="120">
        <f>VLOOKUP(J1581,辅助信息!H:I,2,FALSE)</f>
        <v>15884666220</v>
      </c>
      <c r="L1581" s="122" t="str">
        <f>VLOOKUP(B1581,辅助信息!E:J,6,FALSE)</f>
        <v>现场禁止使用氢能源挂车！优先威钢发货,我方卸车,新老国标钢厂不加价可直发，因陕钢多次出现磅差，项目拒绝使用</v>
      </c>
      <c r="M1581" s="91">
        <v>45797</v>
      </c>
      <c r="O1581" s="62">
        <f ca="1" t="shared" si="79"/>
        <v>0</v>
      </c>
      <c r="P1581" s="62">
        <f ca="1" t="shared" si="80"/>
        <v>163</v>
      </c>
      <c r="Q1581" s="29" t="str">
        <f>VLOOKUP(B1581,辅助信息!E:M,9,FALSE)</f>
        <v>ZTWM-CDGS-XS-2024-0030-华西集采-简州大道</v>
      </c>
      <c r="R1581" s="29" t="str">
        <f>_xlfn._xlws.FILTER(辅助信息!D:D,辅助信息!E:E=B1581)</f>
        <v>华西简阳西城嘉苑</v>
      </c>
    </row>
    <row r="1582" hidden="1" spans="2:18">
      <c r="B1582" s="40" t="s">
        <v>81</v>
      </c>
      <c r="C1582" s="70">
        <v>45793</v>
      </c>
      <c r="D1582" s="120" t="str">
        <f>VLOOKUP(B1582,辅助信息!E:K,7,FALSE)</f>
        <v>JWDDCD2025060900080</v>
      </c>
      <c r="E1582" s="120" t="str">
        <f>VLOOKUP(F1582,辅助信息!A:B,2,FALSE)</f>
        <v>螺纹钢</v>
      </c>
      <c r="F1582" s="40" t="s">
        <v>45</v>
      </c>
      <c r="G1582" s="36">
        <v>2.5</v>
      </c>
      <c r="H1582" s="121">
        <f>_xlfn.XLOOKUP(C1582&amp;F1582&amp;I1582&amp;J1582,'[1]2025年已发货'!$F:$F&amp;'[1]2025年已发货'!$C:$C&amp;'[1]2025年已发货'!$G:$G&amp;'[1]2025年已发货'!$H:$H,'[1]2025年已发货'!$E:$E,"未发货")</f>
        <v>3</v>
      </c>
      <c r="I1582" s="120" t="str">
        <f>VLOOKUP(B1582,辅助信息!E:I,3,FALSE)</f>
        <v>（华西简阳西城嘉苑）四川省成都市简阳市简城街道高屋村</v>
      </c>
      <c r="J1582" s="120" t="str">
        <f>VLOOKUP(B1582,辅助信息!E:I,4,FALSE)</f>
        <v>张瀚镭</v>
      </c>
      <c r="K1582" s="120">
        <f>VLOOKUP(J1582,辅助信息!H:I,2,FALSE)</f>
        <v>15884666220</v>
      </c>
      <c r="L1582" s="122" t="str">
        <f>VLOOKUP(B1582,辅助信息!E:J,6,FALSE)</f>
        <v>现场禁止使用氢能源挂车！优先威钢发货,我方卸车,新老国标钢厂不加价可直发，因陕钢多次出现磅差，项目拒绝使用</v>
      </c>
      <c r="M1582" s="91">
        <v>45797</v>
      </c>
      <c r="O1582" s="62">
        <f ca="1" t="shared" si="79"/>
        <v>0</v>
      </c>
      <c r="P1582" s="62">
        <f ca="1" t="shared" si="80"/>
        <v>163</v>
      </c>
      <c r="Q1582" s="29" t="str">
        <f>VLOOKUP(B1582,辅助信息!E:M,9,FALSE)</f>
        <v>ZTWM-CDGS-XS-2024-0030-华西集采-简州大道</v>
      </c>
      <c r="R1582" s="29" t="str">
        <f>_xlfn._xlws.FILTER(辅助信息!D:D,辅助信息!E:E=B1582)</f>
        <v>华西简阳西城嘉苑</v>
      </c>
    </row>
    <row r="1583" hidden="1" spans="2:18">
      <c r="B1583" s="40" t="s">
        <v>81</v>
      </c>
      <c r="C1583" s="70">
        <v>45793</v>
      </c>
      <c r="D1583" s="120" t="str">
        <f>VLOOKUP(B1583,辅助信息!E:K,7,FALSE)</f>
        <v>JWDDCD2025060900080</v>
      </c>
      <c r="E1583" s="120" t="str">
        <f>VLOOKUP(F1583,辅助信息!A:B,2,FALSE)</f>
        <v>螺纹钢</v>
      </c>
      <c r="F1583" s="40" t="s">
        <v>21</v>
      </c>
      <c r="G1583" s="36">
        <v>2.5</v>
      </c>
      <c r="H1583" s="121">
        <f>_xlfn.XLOOKUP(C1583&amp;F1583&amp;I1583&amp;J1583,'[1]2025年已发货'!$F:$F&amp;'[1]2025年已发货'!$C:$C&amp;'[1]2025年已发货'!$G:$G&amp;'[1]2025年已发货'!$H:$H,'[1]2025年已发货'!$E:$E,"未发货")</f>
        <v>3</v>
      </c>
      <c r="I1583" s="120" t="str">
        <f>VLOOKUP(B1583,辅助信息!E:I,3,FALSE)</f>
        <v>（华西简阳西城嘉苑）四川省成都市简阳市简城街道高屋村</v>
      </c>
      <c r="J1583" s="120" t="str">
        <f>VLOOKUP(B1583,辅助信息!E:I,4,FALSE)</f>
        <v>张瀚镭</v>
      </c>
      <c r="K1583" s="120">
        <f>VLOOKUP(J1583,辅助信息!H:I,2,FALSE)</f>
        <v>15884666220</v>
      </c>
      <c r="L1583" s="122" t="str">
        <f>VLOOKUP(B1583,辅助信息!E:J,6,FALSE)</f>
        <v>现场禁止使用氢能源挂车！优先威钢发货,我方卸车,新老国标钢厂不加价可直发，因陕钢多次出现磅差，项目拒绝使用</v>
      </c>
      <c r="M1583" s="91">
        <v>45797</v>
      </c>
      <c r="O1583" s="62">
        <f ca="1" t="shared" si="79"/>
        <v>0</v>
      </c>
      <c r="P1583" s="62">
        <f ca="1" t="shared" si="80"/>
        <v>163</v>
      </c>
      <c r="Q1583" s="29" t="str">
        <f>VLOOKUP(B1583,辅助信息!E:M,9,FALSE)</f>
        <v>ZTWM-CDGS-XS-2024-0030-华西集采-简州大道</v>
      </c>
      <c r="R1583" s="29" t="str">
        <f>_xlfn._xlws.FILTER(辅助信息!D:D,辅助信息!E:E=B1583)</f>
        <v>华西简阳西城嘉苑</v>
      </c>
    </row>
    <row r="1584" hidden="1" spans="2:18">
      <c r="B1584" s="40" t="s">
        <v>81</v>
      </c>
      <c r="C1584" s="70">
        <v>45793</v>
      </c>
      <c r="D1584" s="120" t="str">
        <f>VLOOKUP(B1584,辅助信息!E:K,7,FALSE)</f>
        <v>JWDDCD2025060900080</v>
      </c>
      <c r="E1584" s="120" t="str">
        <f>VLOOKUP(F1584,辅助信息!A:B,2,FALSE)</f>
        <v>螺纹钢</v>
      </c>
      <c r="F1584" s="40" t="s">
        <v>58</v>
      </c>
      <c r="G1584" s="36">
        <v>5</v>
      </c>
      <c r="H1584" s="121">
        <f>_xlfn.XLOOKUP(C1584&amp;F1584&amp;I1584&amp;J1584,'[1]2025年已发货'!$F:$F&amp;'[1]2025年已发货'!$C:$C&amp;'[1]2025年已发货'!$G:$G&amp;'[1]2025年已发货'!$H:$H,'[1]2025年已发货'!$E:$E,"未发货")</f>
        <v>6</v>
      </c>
      <c r="I1584" s="120" t="str">
        <f>VLOOKUP(B1584,辅助信息!E:I,3,FALSE)</f>
        <v>（华西简阳西城嘉苑）四川省成都市简阳市简城街道高屋村</v>
      </c>
      <c r="J1584" s="120" t="str">
        <f>VLOOKUP(B1584,辅助信息!E:I,4,FALSE)</f>
        <v>张瀚镭</v>
      </c>
      <c r="K1584" s="120">
        <f>VLOOKUP(J1584,辅助信息!H:I,2,FALSE)</f>
        <v>15884666220</v>
      </c>
      <c r="L1584" s="122" t="str">
        <f>VLOOKUP(B1584,辅助信息!E:J,6,FALSE)</f>
        <v>现场禁止使用氢能源挂车！优先威钢发货,我方卸车,新老国标钢厂不加价可直发，因陕钢多次出现磅差，项目拒绝使用</v>
      </c>
      <c r="M1584" s="91">
        <v>45797</v>
      </c>
      <c r="O1584" s="62">
        <f ca="1" t="shared" si="79"/>
        <v>0</v>
      </c>
      <c r="P1584" s="62">
        <f ca="1" t="shared" si="80"/>
        <v>163</v>
      </c>
      <c r="Q1584" s="29" t="str">
        <f>VLOOKUP(B1584,辅助信息!E:M,9,FALSE)</f>
        <v>ZTWM-CDGS-XS-2024-0030-华西集采-简州大道</v>
      </c>
      <c r="R1584" s="29" t="str">
        <f>_xlfn._xlws.FILTER(辅助信息!D:D,辅助信息!E:E=B1584)</f>
        <v>华西简阳西城嘉苑</v>
      </c>
    </row>
    <row r="1585" hidden="1" spans="2:18">
      <c r="B1585" s="40" t="s">
        <v>81</v>
      </c>
      <c r="C1585" s="70">
        <v>45793</v>
      </c>
      <c r="D1585" s="120" t="str">
        <f>VLOOKUP(B1585,辅助信息!E:K,7,FALSE)</f>
        <v>JWDDCD2025060900080</v>
      </c>
      <c r="E1585" s="120" t="str">
        <f>VLOOKUP(F1585,辅助信息!A:B,2,FALSE)</f>
        <v>螺纹钢</v>
      </c>
      <c r="F1585" s="40" t="s">
        <v>46</v>
      </c>
      <c r="G1585" s="36">
        <v>2.5</v>
      </c>
      <c r="H1585" s="121">
        <f>_xlfn.XLOOKUP(C1585&amp;F1585&amp;I1585&amp;J1585,'[1]2025年已发货'!$F:$F&amp;'[1]2025年已发货'!$C:$C&amp;'[1]2025年已发货'!$G:$G&amp;'[1]2025年已发货'!$H:$H,'[1]2025年已发货'!$E:$E,"未发货")</f>
        <v>3</v>
      </c>
      <c r="I1585" s="120" t="str">
        <f>VLOOKUP(B1585,辅助信息!E:I,3,FALSE)</f>
        <v>（华西简阳西城嘉苑）四川省成都市简阳市简城街道高屋村</v>
      </c>
      <c r="J1585" s="120" t="str">
        <f>VLOOKUP(B1585,辅助信息!E:I,4,FALSE)</f>
        <v>张瀚镭</v>
      </c>
      <c r="K1585" s="120">
        <f>VLOOKUP(J1585,辅助信息!H:I,2,FALSE)</f>
        <v>15884666220</v>
      </c>
      <c r="L1585" s="122" t="str">
        <f>VLOOKUP(B1585,辅助信息!E:J,6,FALSE)</f>
        <v>现场禁止使用氢能源挂车！优先威钢发货,我方卸车,新老国标钢厂不加价可直发，因陕钢多次出现磅差，项目拒绝使用</v>
      </c>
      <c r="M1585" s="91">
        <v>45797</v>
      </c>
      <c r="O1585" s="62">
        <f ca="1" t="shared" si="79"/>
        <v>0</v>
      </c>
      <c r="P1585" s="62">
        <f ca="1" t="shared" si="80"/>
        <v>163</v>
      </c>
      <c r="Q1585" s="29" t="str">
        <f>VLOOKUP(B1585,辅助信息!E:M,9,FALSE)</f>
        <v>ZTWM-CDGS-XS-2024-0030-华西集采-简州大道</v>
      </c>
      <c r="R1585" s="29" t="str">
        <f>_xlfn._xlws.FILTER(辅助信息!D:D,辅助信息!E:E=B1585)</f>
        <v>华西简阳西城嘉苑</v>
      </c>
    </row>
    <row r="1586" hidden="1" spans="2:18">
      <c r="B1586" s="40" t="s">
        <v>81</v>
      </c>
      <c r="C1586" s="70">
        <v>45793</v>
      </c>
      <c r="D1586" s="120" t="str">
        <f>VLOOKUP(B1586,辅助信息!E:K,7,FALSE)</f>
        <v>JWDDCD2025060900080</v>
      </c>
      <c r="E1586" s="120" t="str">
        <f>VLOOKUP(F1586,辅助信息!A:B,2,FALSE)</f>
        <v>螺纹钢</v>
      </c>
      <c r="F1586" s="40" t="s">
        <v>22</v>
      </c>
      <c r="G1586" s="36">
        <v>7</v>
      </c>
      <c r="H1586" s="121">
        <f>_xlfn.XLOOKUP(C1586&amp;F1586&amp;I1586&amp;J1586,'[1]2025年已发货'!$F:$F&amp;'[1]2025年已发货'!$C:$C&amp;'[1]2025年已发货'!$G:$G&amp;'[1]2025年已发货'!$H:$H,'[1]2025年已发货'!$E:$E,"未发货")</f>
        <v>9</v>
      </c>
      <c r="I1586" s="120" t="str">
        <f>VLOOKUP(B1586,辅助信息!E:I,3,FALSE)</f>
        <v>（华西简阳西城嘉苑）四川省成都市简阳市简城街道高屋村</v>
      </c>
      <c r="J1586" s="120" t="str">
        <f>VLOOKUP(B1586,辅助信息!E:I,4,FALSE)</f>
        <v>张瀚镭</v>
      </c>
      <c r="K1586" s="120">
        <f>VLOOKUP(J1586,辅助信息!H:I,2,FALSE)</f>
        <v>15884666220</v>
      </c>
      <c r="L1586" s="122" t="str">
        <f>VLOOKUP(B1586,辅助信息!E:J,6,FALSE)</f>
        <v>现场禁止使用氢能源挂车！优先威钢发货,我方卸车,新老国标钢厂不加价可直发，因陕钢多次出现磅差，项目拒绝使用</v>
      </c>
      <c r="M1586" s="91">
        <v>45797</v>
      </c>
      <c r="O1586" s="62">
        <f ca="1" t="shared" si="79"/>
        <v>0</v>
      </c>
      <c r="P1586" s="62">
        <f ca="1" t="shared" si="80"/>
        <v>163</v>
      </c>
      <c r="Q1586" s="29" t="str">
        <f>VLOOKUP(B1586,辅助信息!E:M,9,FALSE)</f>
        <v>ZTWM-CDGS-XS-2024-0030-华西集采-简州大道</v>
      </c>
      <c r="R1586" s="29" t="str">
        <f>_xlfn._xlws.FILTER(辅助信息!D:D,辅助信息!E:E=B1586)</f>
        <v>华西简阳西城嘉苑</v>
      </c>
    </row>
    <row r="1587" hidden="1" spans="2:18">
      <c r="B1587" s="40" t="s">
        <v>152</v>
      </c>
      <c r="C1587" s="70">
        <v>45793</v>
      </c>
      <c r="D1587" s="120" t="e">
        <f>VLOOKUP(B1587,辅助信息!E:K,7,FALSE)</f>
        <v>#N/A</v>
      </c>
      <c r="E1587" s="120" t="str">
        <f>VLOOKUP(F1587,辅助信息!A:B,2,FALSE)</f>
        <v>高线</v>
      </c>
      <c r="F1587" s="40" t="s">
        <v>51</v>
      </c>
      <c r="G1587" s="36">
        <v>35</v>
      </c>
      <c r="H1587" s="121" t="e">
        <f>_xlfn.XLOOKUP(C1587&amp;F1587&amp;I1587&amp;J1587,'[1]2025年已发货'!$F:$F&amp;'[1]2025年已发货'!$C:$C&amp;'[1]2025年已发货'!$G:$G&amp;'[1]2025年已发货'!$H:$H,'[1]2025年已发货'!$E:$E,"未发货")</f>
        <v>#N/A</v>
      </c>
      <c r="I1587" s="120" t="e">
        <f>VLOOKUP(B1587,辅助信息!E:I,3,FALSE)</f>
        <v>#N/A</v>
      </c>
      <c r="J1587" s="120" t="e">
        <f>VLOOKUP(B1587,辅助信息!E:I,4,FALSE)</f>
        <v>#N/A</v>
      </c>
      <c r="K1587" s="120" t="e">
        <f>VLOOKUP(J1587,辅助信息!H:I,2,FALSE)</f>
        <v>#N/A</v>
      </c>
      <c r="L1587" s="122" t="e">
        <f>VLOOKUP(B1587,辅助信息!E:J,6,FALSE)</f>
        <v>#N/A</v>
      </c>
      <c r="M1587" s="91">
        <v>45797</v>
      </c>
      <c r="O1587" s="62">
        <f ca="1" t="shared" si="79"/>
        <v>0</v>
      </c>
      <c r="P1587" s="62">
        <f ca="1" t="shared" si="80"/>
        <v>163</v>
      </c>
      <c r="Q1587" s="29" t="e">
        <f>VLOOKUP(B1587,辅助信息!E:M,9,FALSE)</f>
        <v>#N/A</v>
      </c>
      <c r="R1587" s="29" vm="1" t="e">
        <f>_xlfn._xlws.FILTER(辅助信息!D:D,辅助信息!E:E=B1587)</f>
        <v>#VALUE!</v>
      </c>
    </row>
    <row r="1588" hidden="1" spans="2:18">
      <c r="B1588" s="40" t="s">
        <v>152</v>
      </c>
      <c r="C1588" s="70">
        <v>45793</v>
      </c>
      <c r="D1588" s="120" t="e">
        <f>VLOOKUP(B1588,辅助信息!E:K,7,FALSE)</f>
        <v>#N/A</v>
      </c>
      <c r="E1588" s="120" t="str">
        <f>VLOOKUP(F1588,辅助信息!A:B,2,FALSE)</f>
        <v>螺纹钢</v>
      </c>
      <c r="F1588" s="40" t="s">
        <v>28</v>
      </c>
      <c r="G1588" s="36">
        <v>105</v>
      </c>
      <c r="H1588" s="121" t="e">
        <f>_xlfn.XLOOKUP(C1588&amp;F1588&amp;I1588&amp;J1588,'[1]2025年已发货'!$F:$F&amp;'[1]2025年已发货'!$C:$C&amp;'[1]2025年已发货'!$G:$G&amp;'[1]2025年已发货'!$H:$H,'[1]2025年已发货'!$E:$E,"未发货")</f>
        <v>#N/A</v>
      </c>
      <c r="I1588" s="120" t="e">
        <f>VLOOKUP(B1588,辅助信息!E:I,3,FALSE)</f>
        <v>#N/A</v>
      </c>
      <c r="J1588" s="120" t="e">
        <f>VLOOKUP(B1588,辅助信息!E:I,4,FALSE)</f>
        <v>#N/A</v>
      </c>
      <c r="K1588" s="120" t="e">
        <f>VLOOKUP(J1588,辅助信息!H:I,2,FALSE)</f>
        <v>#N/A</v>
      </c>
      <c r="L1588" s="122" t="e">
        <f>VLOOKUP(B1588,辅助信息!E:J,6,FALSE)</f>
        <v>#N/A</v>
      </c>
      <c r="M1588" s="91">
        <v>45797</v>
      </c>
      <c r="O1588" s="62">
        <f ca="1" t="shared" si="79"/>
        <v>0</v>
      </c>
      <c r="P1588" s="62">
        <f ca="1" t="shared" si="80"/>
        <v>163</v>
      </c>
      <c r="Q1588" s="29" t="e">
        <f>VLOOKUP(B1588,辅助信息!E:M,9,FALSE)</f>
        <v>#N/A</v>
      </c>
      <c r="R1588" s="29" vm="1" t="e">
        <f>_xlfn._xlws.FILTER(辅助信息!D:D,辅助信息!E:E=B1588)</f>
        <v>#VALUE!</v>
      </c>
    </row>
    <row r="1589" hidden="1" spans="2:18">
      <c r="B1589" s="40" t="s">
        <v>81</v>
      </c>
      <c r="C1589" s="70">
        <v>45796</v>
      </c>
      <c r="D1589" s="120" t="str">
        <f>VLOOKUP(B1589,辅助信息!E:K,7,FALSE)</f>
        <v>JWDDCD2025060900080</v>
      </c>
      <c r="E1589" s="120" t="str">
        <f>VLOOKUP(F1589,辅助信息!A:B,2,FALSE)</f>
        <v>盘螺</v>
      </c>
      <c r="F1589" s="40" t="s">
        <v>49</v>
      </c>
      <c r="G1589" s="36">
        <v>7.5</v>
      </c>
      <c r="H1589" s="121" t="str">
        <f>_xlfn.XLOOKUP(C1589&amp;F1589&amp;I1589&amp;J1589,'[1]2025年已发货'!$F:$F&amp;'[1]2025年已发货'!$C:$C&amp;'[1]2025年已发货'!$G:$G&amp;'[1]2025年已发货'!$H:$H,'[1]2025年已发货'!$E:$E,"未发货")</f>
        <v>未发货</v>
      </c>
      <c r="I1589" s="120" t="str">
        <f>VLOOKUP(B1589,辅助信息!E:I,3,FALSE)</f>
        <v>（华西简阳西城嘉苑）四川省成都市简阳市简城街道高屋村</v>
      </c>
      <c r="J1589" s="120" t="str">
        <f>VLOOKUP(B1589,辅助信息!E:I,4,FALSE)</f>
        <v>张瀚镭</v>
      </c>
      <c r="K1589" s="120">
        <f>VLOOKUP(J1589,辅助信息!H:I,2,FALSE)</f>
        <v>15884666220</v>
      </c>
      <c r="L1589" s="122" t="str">
        <f>VLOOKUP(B1589,辅助信息!E:J,6,FALSE)</f>
        <v>现场禁止使用氢能源挂车！优先威钢发货,我方卸车,新老国标钢厂不加价可直发，因陕钢多次出现磅差，项目拒绝使用</v>
      </c>
      <c r="M1589" s="91">
        <v>45800</v>
      </c>
      <c r="O1589" s="62">
        <f ca="1" t="shared" si="79"/>
        <v>0</v>
      </c>
      <c r="P1589" s="62">
        <f ca="1" t="shared" si="80"/>
        <v>160</v>
      </c>
      <c r="Q1589" s="29" t="str">
        <f>VLOOKUP(B1589,辅助信息!E:M,9,FALSE)</f>
        <v>ZTWM-CDGS-XS-2024-0030-华西集采-简州大道</v>
      </c>
      <c r="R1589" s="29" t="str">
        <f>_xlfn._xlws.FILTER(辅助信息!D:D,辅助信息!E:E=B1589)</f>
        <v>华西简阳西城嘉苑</v>
      </c>
    </row>
    <row r="1590" hidden="1" spans="2:18">
      <c r="B1590" s="40" t="s">
        <v>81</v>
      </c>
      <c r="C1590" s="70">
        <v>45796</v>
      </c>
      <c r="D1590" s="120" t="str">
        <f>VLOOKUP(B1590,辅助信息!E:K,7,FALSE)</f>
        <v>JWDDCD2025060900080</v>
      </c>
      <c r="E1590" s="120" t="str">
        <f>VLOOKUP(F1590,辅助信息!A:B,2,FALSE)</f>
        <v>盘螺</v>
      </c>
      <c r="F1590" s="40" t="s">
        <v>40</v>
      </c>
      <c r="G1590" s="36">
        <v>27.5</v>
      </c>
      <c r="H1590" s="121">
        <f>_xlfn.XLOOKUP(C1590&amp;F1590&amp;I1590&amp;J1590,'[1]2025年已发货'!$F:$F&amp;'[1]2025年已发货'!$C:$C&amp;'[1]2025年已发货'!$G:$G&amp;'[1]2025年已发货'!$H:$H,'[1]2025年已发货'!$E:$E,"未发货")</f>
        <v>30</v>
      </c>
      <c r="I1590" s="120" t="str">
        <f>VLOOKUP(B1590,辅助信息!E:I,3,FALSE)</f>
        <v>（华西简阳西城嘉苑）四川省成都市简阳市简城街道高屋村</v>
      </c>
      <c r="J1590" s="120" t="str">
        <f>VLOOKUP(B1590,辅助信息!E:I,4,FALSE)</f>
        <v>张瀚镭</v>
      </c>
      <c r="K1590" s="120">
        <f>VLOOKUP(J1590,辅助信息!H:I,2,FALSE)</f>
        <v>15884666220</v>
      </c>
      <c r="L1590" s="122" t="str">
        <f>VLOOKUP(B1590,辅助信息!E:J,6,FALSE)</f>
        <v>现场禁止使用氢能源挂车！优先威钢发货,我方卸车,新老国标钢厂不加价可直发，因陕钢多次出现磅差，项目拒绝使用</v>
      </c>
      <c r="M1590" s="91">
        <v>45800</v>
      </c>
      <c r="O1590" s="62">
        <f ca="1" t="shared" ref="O1590:O1601" si="81">IF(OR(M1590="",N1590&lt;&gt;""),"",MAX(M1590-TODAY(),0))</f>
        <v>0</v>
      </c>
      <c r="P1590" s="62">
        <f ca="1" t="shared" ref="P1590:P1601" si="82">IF(M1590="","",IF(N1590&lt;&gt;"",MAX(N1590-M1590,0),IF(TODAY()&gt;M1590,TODAY()-M1590,0)))</f>
        <v>160</v>
      </c>
      <c r="Q1590" s="29" t="str">
        <f>VLOOKUP(B1590,辅助信息!E:M,9,FALSE)</f>
        <v>ZTWM-CDGS-XS-2024-0030-华西集采-简州大道</v>
      </c>
      <c r="R1590" s="29" t="str">
        <f>_xlfn._xlws.FILTER(辅助信息!D:D,辅助信息!E:E=B1590)</f>
        <v>华西简阳西城嘉苑</v>
      </c>
    </row>
    <row r="1591" hidden="1" spans="2:18">
      <c r="B1591" s="40" t="s">
        <v>81</v>
      </c>
      <c r="C1591" s="70">
        <v>45796</v>
      </c>
      <c r="D1591" s="120" t="str">
        <f>VLOOKUP(B1591,辅助信息!E:K,7,FALSE)</f>
        <v>JWDDCD2025060900080</v>
      </c>
      <c r="E1591" s="120" t="str">
        <f>VLOOKUP(F1591,辅助信息!A:B,2,FALSE)</f>
        <v>盘螺</v>
      </c>
      <c r="F1591" s="40" t="s">
        <v>41</v>
      </c>
      <c r="G1591" s="36">
        <v>51</v>
      </c>
      <c r="H1591" s="121">
        <f>_xlfn.XLOOKUP(C1591&amp;F1591&amp;I1591&amp;J1591,'[1]2025年已发货'!$F:$F&amp;'[1]2025年已发货'!$C:$C&amp;'[1]2025年已发货'!$G:$G&amp;'[1]2025年已发货'!$H:$H,'[1]2025年已发货'!$E:$E,"未发货")</f>
        <v>40</v>
      </c>
      <c r="I1591" s="120" t="str">
        <f>VLOOKUP(B1591,辅助信息!E:I,3,FALSE)</f>
        <v>（华西简阳西城嘉苑）四川省成都市简阳市简城街道高屋村</v>
      </c>
      <c r="J1591" s="120" t="str">
        <f>VLOOKUP(B1591,辅助信息!E:I,4,FALSE)</f>
        <v>张瀚镭</v>
      </c>
      <c r="K1591" s="120">
        <f>VLOOKUP(J1591,辅助信息!H:I,2,FALSE)</f>
        <v>15884666220</v>
      </c>
      <c r="L1591" s="122" t="str">
        <f>VLOOKUP(B1591,辅助信息!E:J,6,FALSE)</f>
        <v>现场禁止使用氢能源挂车！优先威钢发货,我方卸车,新老国标钢厂不加价可直发，因陕钢多次出现磅差，项目拒绝使用</v>
      </c>
      <c r="M1591" s="91">
        <v>45800</v>
      </c>
      <c r="O1591" s="62">
        <f ca="1" t="shared" si="81"/>
        <v>0</v>
      </c>
      <c r="P1591" s="62">
        <f ca="1" t="shared" si="82"/>
        <v>160</v>
      </c>
      <c r="Q1591" s="29" t="str">
        <f>VLOOKUP(B1591,辅助信息!E:M,9,FALSE)</f>
        <v>ZTWM-CDGS-XS-2024-0030-华西集采-简州大道</v>
      </c>
      <c r="R1591" s="29" t="str">
        <f>_xlfn._xlws.FILTER(辅助信息!D:D,辅助信息!E:E=B1591)</f>
        <v>华西简阳西城嘉苑</v>
      </c>
    </row>
    <row r="1592" hidden="1" spans="2:18">
      <c r="B1592" s="40" t="s">
        <v>81</v>
      </c>
      <c r="C1592" s="70">
        <v>45796</v>
      </c>
      <c r="D1592" s="120" t="str">
        <f>VLOOKUP(B1592,辅助信息!E:K,7,FALSE)</f>
        <v>JWDDCD2025060900080</v>
      </c>
      <c r="E1592" s="120" t="str">
        <f>VLOOKUP(F1592,辅助信息!A:B,2,FALSE)</f>
        <v>盘螺</v>
      </c>
      <c r="F1592" s="40" t="s">
        <v>26</v>
      </c>
      <c r="G1592" s="36">
        <v>64</v>
      </c>
      <c r="H1592" s="121">
        <f>_xlfn.XLOOKUP(C1592&amp;F1592&amp;I1592&amp;J1592,'[1]2025年已发货'!$F:$F&amp;'[1]2025年已发货'!$C:$C&amp;'[1]2025年已发货'!$G:$G&amp;'[1]2025年已发货'!$H:$H,'[1]2025年已发货'!$E:$E,"未发货")</f>
        <v>35</v>
      </c>
      <c r="I1592" s="120" t="str">
        <f>VLOOKUP(B1592,辅助信息!E:I,3,FALSE)</f>
        <v>（华西简阳西城嘉苑）四川省成都市简阳市简城街道高屋村</v>
      </c>
      <c r="J1592" s="120" t="str">
        <f>VLOOKUP(B1592,辅助信息!E:I,4,FALSE)</f>
        <v>张瀚镭</v>
      </c>
      <c r="K1592" s="120">
        <f>VLOOKUP(J1592,辅助信息!H:I,2,FALSE)</f>
        <v>15884666220</v>
      </c>
      <c r="L1592" s="122" t="str">
        <f>VLOOKUP(B1592,辅助信息!E:J,6,FALSE)</f>
        <v>现场禁止使用氢能源挂车！优先威钢发货,我方卸车,新老国标钢厂不加价可直发，因陕钢多次出现磅差，项目拒绝使用</v>
      </c>
      <c r="M1592" s="91">
        <v>45800</v>
      </c>
      <c r="O1592" s="62">
        <f ca="1" t="shared" si="81"/>
        <v>0</v>
      </c>
      <c r="P1592" s="62">
        <f ca="1" t="shared" si="82"/>
        <v>160</v>
      </c>
      <c r="Q1592" s="29" t="str">
        <f>VLOOKUP(B1592,辅助信息!E:M,9,FALSE)</f>
        <v>ZTWM-CDGS-XS-2024-0030-华西集采-简州大道</v>
      </c>
      <c r="R1592" s="29" t="str">
        <f>_xlfn._xlws.FILTER(辅助信息!D:D,辅助信息!E:E=B1592)</f>
        <v>华西简阳西城嘉苑</v>
      </c>
    </row>
    <row r="1593" hidden="1" spans="2:18">
      <c r="B1593" s="40" t="s">
        <v>81</v>
      </c>
      <c r="C1593" s="70">
        <v>45796</v>
      </c>
      <c r="D1593" s="120" t="str">
        <f>VLOOKUP(B1593,辅助信息!E:K,7,FALSE)</f>
        <v>JWDDCD2025060900080</v>
      </c>
      <c r="E1593" s="120" t="str">
        <f>VLOOKUP(F1593,辅助信息!A:B,2,FALSE)</f>
        <v>螺纹钢</v>
      </c>
      <c r="F1593" s="40" t="s">
        <v>19</v>
      </c>
      <c r="G1593" s="36">
        <v>5.5</v>
      </c>
      <c r="H1593" s="121">
        <f>_xlfn.XLOOKUP(C1593&amp;F1593&amp;I1593&amp;J1593,'[1]2025年已发货'!$F:$F&amp;'[1]2025年已发货'!$C:$C&amp;'[1]2025年已发货'!$G:$G&amp;'[1]2025年已发货'!$H:$H,'[1]2025年已发货'!$E:$E,"未发货")</f>
        <v>6</v>
      </c>
      <c r="I1593" s="120" t="str">
        <f>VLOOKUP(B1593,辅助信息!E:I,3,FALSE)</f>
        <v>（华西简阳西城嘉苑）四川省成都市简阳市简城街道高屋村</v>
      </c>
      <c r="J1593" s="120" t="str">
        <f>VLOOKUP(B1593,辅助信息!E:I,4,FALSE)</f>
        <v>张瀚镭</v>
      </c>
      <c r="K1593" s="120">
        <f>VLOOKUP(J1593,辅助信息!H:I,2,FALSE)</f>
        <v>15884666220</v>
      </c>
      <c r="L1593" s="122" t="str">
        <f>VLOOKUP(B1593,辅助信息!E:J,6,FALSE)</f>
        <v>现场禁止使用氢能源挂车！优先威钢发货,我方卸车,新老国标钢厂不加价可直发，因陕钢多次出现磅差，项目拒绝使用</v>
      </c>
      <c r="M1593" s="91">
        <v>45800</v>
      </c>
      <c r="O1593" s="62">
        <f ca="1" t="shared" si="81"/>
        <v>0</v>
      </c>
      <c r="P1593" s="62">
        <f ca="1" t="shared" si="82"/>
        <v>160</v>
      </c>
      <c r="Q1593" s="29" t="str">
        <f>VLOOKUP(B1593,辅助信息!E:M,9,FALSE)</f>
        <v>ZTWM-CDGS-XS-2024-0030-华西集采-简州大道</v>
      </c>
      <c r="R1593" s="29" t="str">
        <f>_xlfn._xlws.FILTER(辅助信息!D:D,辅助信息!E:E=B1593)</f>
        <v>华西简阳西城嘉苑</v>
      </c>
    </row>
    <row r="1594" hidden="1" spans="2:18">
      <c r="B1594" s="40" t="s">
        <v>81</v>
      </c>
      <c r="C1594" s="70">
        <v>45796</v>
      </c>
      <c r="D1594" s="120" t="str">
        <f>VLOOKUP(B1594,辅助信息!E:K,7,FALSE)</f>
        <v>JWDDCD2025060900080</v>
      </c>
      <c r="E1594" s="120" t="str">
        <f>VLOOKUP(F1594,辅助信息!A:B,2,FALSE)</f>
        <v>螺纹钢</v>
      </c>
      <c r="F1594" s="40" t="s">
        <v>32</v>
      </c>
      <c r="G1594" s="36">
        <v>8</v>
      </c>
      <c r="H1594" s="121">
        <f>_xlfn.XLOOKUP(C1594&amp;F1594&amp;I1594&amp;J1594,'[1]2025年已发货'!$F:$F&amp;'[1]2025年已发货'!$C:$C&amp;'[1]2025年已发货'!$G:$G&amp;'[1]2025年已发货'!$H:$H,'[1]2025年已发货'!$E:$E,"未发货")</f>
        <v>9</v>
      </c>
      <c r="I1594" s="120" t="str">
        <f>VLOOKUP(B1594,辅助信息!E:I,3,FALSE)</f>
        <v>（华西简阳西城嘉苑）四川省成都市简阳市简城街道高屋村</v>
      </c>
      <c r="J1594" s="120" t="str">
        <f>VLOOKUP(B1594,辅助信息!E:I,4,FALSE)</f>
        <v>张瀚镭</v>
      </c>
      <c r="K1594" s="120">
        <f>VLOOKUP(J1594,辅助信息!H:I,2,FALSE)</f>
        <v>15884666220</v>
      </c>
      <c r="L1594" s="122" t="str">
        <f>VLOOKUP(B1594,辅助信息!E:J,6,FALSE)</f>
        <v>现场禁止使用氢能源挂车！优先威钢发货,我方卸车,新老国标钢厂不加价可直发，因陕钢多次出现磅差，项目拒绝使用</v>
      </c>
      <c r="M1594" s="91">
        <v>45800</v>
      </c>
      <c r="O1594" s="62">
        <f ca="1" t="shared" si="81"/>
        <v>0</v>
      </c>
      <c r="P1594" s="62">
        <f ca="1" t="shared" si="82"/>
        <v>160</v>
      </c>
      <c r="Q1594" s="29" t="str">
        <f>VLOOKUP(B1594,辅助信息!E:M,9,FALSE)</f>
        <v>ZTWM-CDGS-XS-2024-0030-华西集采-简州大道</v>
      </c>
      <c r="R1594" s="29" t="str">
        <f>_xlfn._xlws.FILTER(辅助信息!D:D,辅助信息!E:E=B1594)</f>
        <v>华西简阳西城嘉苑</v>
      </c>
    </row>
    <row r="1595" hidden="1" spans="2:18">
      <c r="B1595" s="40" t="s">
        <v>81</v>
      </c>
      <c r="C1595" s="70">
        <v>45796</v>
      </c>
      <c r="D1595" s="120" t="str">
        <f>VLOOKUP(B1595,辅助信息!E:K,7,FALSE)</f>
        <v>JWDDCD2025060900080</v>
      </c>
      <c r="E1595" s="120" t="str">
        <f>VLOOKUP(F1595,辅助信息!A:B,2,FALSE)</f>
        <v>螺纹钢</v>
      </c>
      <c r="F1595" s="40" t="s">
        <v>30</v>
      </c>
      <c r="G1595" s="36">
        <v>13.5</v>
      </c>
      <c r="H1595" s="121">
        <f>_xlfn.XLOOKUP(C1595&amp;F1595&amp;I1595&amp;J1595,'[1]2025年已发货'!$F:$F&amp;'[1]2025年已发货'!$C:$C&amp;'[1]2025年已发货'!$G:$G&amp;'[1]2025年已发货'!$H:$H,'[1]2025年已发货'!$E:$E,"未发货")</f>
        <v>6</v>
      </c>
      <c r="I1595" s="120" t="str">
        <f>VLOOKUP(B1595,辅助信息!E:I,3,FALSE)</f>
        <v>（华西简阳西城嘉苑）四川省成都市简阳市简城街道高屋村</v>
      </c>
      <c r="J1595" s="120" t="str">
        <f>VLOOKUP(B1595,辅助信息!E:I,4,FALSE)</f>
        <v>张瀚镭</v>
      </c>
      <c r="K1595" s="120">
        <f>VLOOKUP(J1595,辅助信息!H:I,2,FALSE)</f>
        <v>15884666220</v>
      </c>
      <c r="L1595" s="122" t="str">
        <f>VLOOKUP(B1595,辅助信息!E:J,6,FALSE)</f>
        <v>现场禁止使用氢能源挂车！优先威钢发货,我方卸车,新老国标钢厂不加价可直发，因陕钢多次出现磅差，项目拒绝使用</v>
      </c>
      <c r="M1595" s="91">
        <v>45800</v>
      </c>
      <c r="O1595" s="62">
        <f ca="1" t="shared" si="81"/>
        <v>0</v>
      </c>
      <c r="P1595" s="62">
        <f ca="1" t="shared" si="82"/>
        <v>160</v>
      </c>
      <c r="Q1595" s="29" t="str">
        <f>VLOOKUP(B1595,辅助信息!E:M,9,FALSE)</f>
        <v>ZTWM-CDGS-XS-2024-0030-华西集采-简州大道</v>
      </c>
      <c r="R1595" s="29" t="str">
        <f>_xlfn._xlws.FILTER(辅助信息!D:D,辅助信息!E:E=B1595)</f>
        <v>华西简阳西城嘉苑</v>
      </c>
    </row>
    <row r="1596" hidden="1" spans="2:18">
      <c r="B1596" s="40" t="s">
        <v>81</v>
      </c>
      <c r="C1596" s="70">
        <v>45796</v>
      </c>
      <c r="D1596" s="120" t="str">
        <f>VLOOKUP(B1596,辅助信息!E:K,7,FALSE)</f>
        <v>JWDDCD2025060900080</v>
      </c>
      <c r="E1596" s="120" t="str">
        <f>VLOOKUP(F1596,辅助信息!A:B,2,FALSE)</f>
        <v>螺纹钢</v>
      </c>
      <c r="F1596" s="40" t="s">
        <v>33</v>
      </c>
      <c r="G1596" s="36">
        <v>20</v>
      </c>
      <c r="H1596" s="121">
        <f>_xlfn.XLOOKUP(C1596&amp;F1596&amp;I1596&amp;J1596,'[1]2025年已发货'!$F:$F&amp;'[1]2025年已发货'!$C:$C&amp;'[1]2025年已发货'!$G:$G&amp;'[1]2025年已发货'!$H:$H,'[1]2025年已发货'!$E:$E,"未发货")</f>
        <v>6</v>
      </c>
      <c r="I1596" s="120" t="str">
        <f>VLOOKUP(B1596,辅助信息!E:I,3,FALSE)</f>
        <v>（华西简阳西城嘉苑）四川省成都市简阳市简城街道高屋村</v>
      </c>
      <c r="J1596" s="120" t="str">
        <f>VLOOKUP(B1596,辅助信息!E:I,4,FALSE)</f>
        <v>张瀚镭</v>
      </c>
      <c r="K1596" s="120">
        <f>VLOOKUP(J1596,辅助信息!H:I,2,FALSE)</f>
        <v>15884666220</v>
      </c>
      <c r="L1596" s="122" t="str">
        <f>VLOOKUP(B1596,辅助信息!E:J,6,FALSE)</f>
        <v>现场禁止使用氢能源挂车！优先威钢发货,我方卸车,新老国标钢厂不加价可直发，因陕钢多次出现磅差，项目拒绝使用</v>
      </c>
      <c r="M1596" s="91">
        <v>45800</v>
      </c>
      <c r="O1596" s="62">
        <f ca="1" t="shared" si="81"/>
        <v>0</v>
      </c>
      <c r="P1596" s="62">
        <f ca="1" t="shared" si="82"/>
        <v>160</v>
      </c>
      <c r="Q1596" s="29" t="str">
        <f>VLOOKUP(B1596,辅助信息!E:M,9,FALSE)</f>
        <v>ZTWM-CDGS-XS-2024-0030-华西集采-简州大道</v>
      </c>
      <c r="R1596" s="29" t="str">
        <f>_xlfn._xlws.FILTER(辅助信息!D:D,辅助信息!E:E=B1596)</f>
        <v>华西简阳西城嘉苑</v>
      </c>
    </row>
    <row r="1597" hidden="1" spans="2:18">
      <c r="B1597" s="40" t="s">
        <v>81</v>
      </c>
      <c r="C1597" s="70">
        <v>45796</v>
      </c>
      <c r="D1597" s="120" t="str">
        <f>VLOOKUP(B1597,辅助信息!E:K,7,FALSE)</f>
        <v>JWDDCD2025060900080</v>
      </c>
      <c r="E1597" s="120" t="str">
        <f>VLOOKUP(F1597,辅助信息!A:B,2,FALSE)</f>
        <v>螺纹钢</v>
      </c>
      <c r="F1597" s="40" t="s">
        <v>28</v>
      </c>
      <c r="G1597" s="36">
        <v>2.7</v>
      </c>
      <c r="H1597" s="121">
        <f>_xlfn.XLOOKUP(C1597&amp;F1597&amp;I1597&amp;J1597,'[1]2025年已发货'!$F:$F&amp;'[1]2025年已发货'!$C:$C&amp;'[1]2025年已发货'!$G:$G&amp;'[1]2025年已发货'!$H:$H,'[1]2025年已发货'!$E:$E,"未发货")</f>
        <v>3</v>
      </c>
      <c r="I1597" s="120" t="str">
        <f>VLOOKUP(B1597,辅助信息!E:I,3,FALSE)</f>
        <v>（华西简阳西城嘉苑）四川省成都市简阳市简城街道高屋村</v>
      </c>
      <c r="J1597" s="120" t="str">
        <f>VLOOKUP(B1597,辅助信息!E:I,4,FALSE)</f>
        <v>张瀚镭</v>
      </c>
      <c r="K1597" s="120">
        <f>VLOOKUP(J1597,辅助信息!H:I,2,FALSE)</f>
        <v>15884666220</v>
      </c>
      <c r="L1597" s="122" t="str">
        <f>VLOOKUP(B1597,辅助信息!E:J,6,FALSE)</f>
        <v>现场禁止使用氢能源挂车！优先威钢发货,我方卸车,新老国标钢厂不加价可直发，因陕钢多次出现磅差，项目拒绝使用</v>
      </c>
      <c r="M1597" s="91">
        <v>45800</v>
      </c>
      <c r="O1597" s="62">
        <f ca="1" t="shared" si="81"/>
        <v>0</v>
      </c>
      <c r="P1597" s="62">
        <f ca="1" t="shared" si="82"/>
        <v>160</v>
      </c>
      <c r="Q1597" s="29" t="str">
        <f>VLOOKUP(B1597,辅助信息!E:M,9,FALSE)</f>
        <v>ZTWM-CDGS-XS-2024-0030-华西集采-简州大道</v>
      </c>
      <c r="R1597" s="29" t="str">
        <f>_xlfn._xlws.FILTER(辅助信息!D:D,辅助信息!E:E=B1597)</f>
        <v>华西简阳西城嘉苑</v>
      </c>
    </row>
    <row r="1598" hidden="1" spans="2:18">
      <c r="B1598" s="40" t="s">
        <v>81</v>
      </c>
      <c r="C1598" s="70">
        <v>45796</v>
      </c>
      <c r="D1598" s="120" t="str">
        <f>VLOOKUP(B1598,辅助信息!E:K,7,FALSE)</f>
        <v>JWDDCD2025060900080</v>
      </c>
      <c r="E1598" s="120" t="str">
        <f>VLOOKUP(F1598,辅助信息!A:B,2,FALSE)</f>
        <v>螺纹钢</v>
      </c>
      <c r="F1598" s="40" t="s">
        <v>18</v>
      </c>
      <c r="G1598" s="36">
        <v>7.5</v>
      </c>
      <c r="H1598" s="121">
        <f>_xlfn.XLOOKUP(C1598&amp;F1598&amp;I1598&amp;J1598,'[1]2025年已发货'!$F:$F&amp;'[1]2025年已发货'!$C:$C&amp;'[1]2025年已发货'!$G:$G&amp;'[1]2025年已发货'!$H:$H,'[1]2025年已发货'!$E:$E,"未发货")</f>
        <v>6</v>
      </c>
      <c r="I1598" s="120" t="str">
        <f>VLOOKUP(B1598,辅助信息!E:I,3,FALSE)</f>
        <v>（华西简阳西城嘉苑）四川省成都市简阳市简城街道高屋村</v>
      </c>
      <c r="J1598" s="120" t="str">
        <f>VLOOKUP(B1598,辅助信息!E:I,4,FALSE)</f>
        <v>张瀚镭</v>
      </c>
      <c r="K1598" s="120">
        <f>VLOOKUP(J1598,辅助信息!H:I,2,FALSE)</f>
        <v>15884666220</v>
      </c>
      <c r="L1598" s="122" t="str">
        <f>VLOOKUP(B1598,辅助信息!E:J,6,FALSE)</f>
        <v>现场禁止使用氢能源挂车！优先威钢发货,我方卸车,新老国标钢厂不加价可直发，因陕钢多次出现磅差，项目拒绝使用</v>
      </c>
      <c r="M1598" s="91">
        <v>45800</v>
      </c>
      <c r="O1598" s="62">
        <f ca="1" t="shared" si="81"/>
        <v>0</v>
      </c>
      <c r="P1598" s="62">
        <f ca="1" t="shared" si="82"/>
        <v>160</v>
      </c>
      <c r="Q1598" s="29" t="str">
        <f>VLOOKUP(B1598,辅助信息!E:M,9,FALSE)</f>
        <v>ZTWM-CDGS-XS-2024-0030-华西集采-简州大道</v>
      </c>
      <c r="R1598" s="29" t="str">
        <f>_xlfn._xlws.FILTER(辅助信息!D:D,辅助信息!E:E=B1598)</f>
        <v>华西简阳西城嘉苑</v>
      </c>
    </row>
    <row r="1599" hidden="1" spans="2:18">
      <c r="B1599" s="40" t="s">
        <v>153</v>
      </c>
      <c r="C1599" s="70">
        <v>45796</v>
      </c>
      <c r="D1599" s="120" t="str">
        <f>VLOOKUP(B1599,辅助信息!E:K,7,FALSE)</f>
        <v>JWDDCD2025050800080</v>
      </c>
      <c r="E1599" s="120" t="str">
        <f>VLOOKUP(F1599,辅助信息!A:B,2,FALSE)</f>
        <v>螺纹钢</v>
      </c>
      <c r="F1599" s="40" t="s">
        <v>27</v>
      </c>
      <c r="G1599" s="36">
        <v>15</v>
      </c>
      <c r="H1599" s="121" t="str">
        <f>_xlfn.XLOOKUP(C1599&amp;F1599&amp;I1599&amp;J1599,'[1]2025年已发货'!$F:$F&amp;'[1]2025年已发货'!$C:$C&amp;'[1]2025年已发货'!$G:$G&amp;'[1]2025年已发货'!$H:$H,'[1]2025年已发货'!$E:$E,"未发货")</f>
        <v>未发货</v>
      </c>
      <c r="I1599" s="120" t="str">
        <f>VLOOKUP(B1599,辅助信息!E:I,3,FALSE)</f>
        <v>(宜宾兴港三江新区长江工业园建设项目-M2-4#厂房)宜宾市翠屏区宜宾汽车零部件配套产业基地(纬五路南)</v>
      </c>
      <c r="J1599" s="120" t="str">
        <f>VLOOKUP(B1599,辅助信息!E:I,4,FALSE)</f>
        <v>李国享</v>
      </c>
      <c r="K1599" s="120">
        <f>VLOOKUP(J1599,辅助信息!H:I,2,FALSE)</f>
        <v>17713876279</v>
      </c>
      <c r="L1599" s="122" t="str">
        <f>VLOOKUP(B1599,辅助信息!E:J,6,FALSE)</f>
        <v>装货前联系收货人核实到场规格，货物最下面用方木垫下方便卸货</v>
      </c>
      <c r="M1599" s="91">
        <v>45797</v>
      </c>
      <c r="O1599" s="62">
        <f ca="1" t="shared" si="81"/>
        <v>0</v>
      </c>
      <c r="P1599" s="62">
        <f ca="1" t="shared" si="82"/>
        <v>163</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0">
        <v>45796</v>
      </c>
      <c r="D1600" s="120" t="str">
        <f>VLOOKUP(B1600,辅助信息!E:K,7,FALSE)</f>
        <v>JWDDCD2025050800080</v>
      </c>
      <c r="E1600" s="120" t="str">
        <f>VLOOKUP(F1600,辅助信息!A:B,2,FALSE)</f>
        <v>螺纹钢</v>
      </c>
      <c r="F1600" s="40" t="s">
        <v>130</v>
      </c>
      <c r="G1600" s="36">
        <v>40</v>
      </c>
      <c r="H1600" s="121" t="str">
        <f>_xlfn.XLOOKUP(C1600&amp;F1600&amp;I1600&amp;J1600,'[1]2025年已发货'!$F:$F&amp;'[1]2025年已发货'!$C:$C&amp;'[1]2025年已发货'!$G:$G&amp;'[1]2025年已发货'!$H:$H,'[1]2025年已发货'!$E:$E,"未发货")</f>
        <v>未发货</v>
      </c>
      <c r="I1600" s="120" t="str">
        <f>VLOOKUP(B1600,辅助信息!E:I,3,FALSE)</f>
        <v>(宜宾兴港三江新区长江工业园建设项目-M2-2#厂房)宜宾市翠屏区宜宾汽车零部件配套产业基地(纬五路南)</v>
      </c>
      <c r="J1600" s="120" t="str">
        <f>VLOOKUP(B1600,辅助信息!E:I,4,FALSE)</f>
        <v>李国享</v>
      </c>
      <c r="K1600" s="120">
        <f>VLOOKUP(J1600,辅助信息!H:I,2,FALSE)</f>
        <v>17713876279</v>
      </c>
      <c r="L1600" s="122" t="str">
        <f>VLOOKUP(B1600,辅助信息!E:J,6,FALSE)</f>
        <v>装货前联系收货人核实到场规格，货物最下面用方木垫下方便卸货</v>
      </c>
      <c r="M1600" s="91">
        <v>45797</v>
      </c>
      <c r="O1600" s="62">
        <f ca="1" t="shared" si="81"/>
        <v>0</v>
      </c>
      <c r="P1600" s="62">
        <f ca="1" t="shared" si="82"/>
        <v>163</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0">
        <v>45796</v>
      </c>
      <c r="D1601" s="120" t="str">
        <f>VLOOKUP(B1601,辅助信息!E:K,7,FALSE)</f>
        <v>JWDDCD2025050800080</v>
      </c>
      <c r="E1601" s="120" t="str">
        <f>VLOOKUP(F1601,辅助信息!A:B,2,FALSE)</f>
        <v>螺纹钢</v>
      </c>
      <c r="F1601" s="40" t="s">
        <v>133</v>
      </c>
      <c r="G1601" s="36">
        <v>60</v>
      </c>
      <c r="H1601" s="121" t="str">
        <f>_xlfn.XLOOKUP(C1601&amp;F1601&amp;I1601&amp;J1601,'[1]2025年已发货'!$F:$F&amp;'[1]2025年已发货'!$C:$C&amp;'[1]2025年已发货'!$G:$G&amp;'[1]2025年已发货'!$H:$H,'[1]2025年已发货'!$E:$E,"未发货")</f>
        <v>未发货</v>
      </c>
      <c r="I1601" s="120" t="str">
        <f>VLOOKUP(B1601,辅助信息!E:I,3,FALSE)</f>
        <v>(宜宾兴港三江新区长江工业园建设项目-M2-5#厂房)宜宾市翠屏区宜宾汽车零部件配套产业基地(纬五路南)</v>
      </c>
      <c r="J1601" s="120" t="str">
        <f>VLOOKUP(B1601,辅助信息!E:I,4,FALSE)</f>
        <v>李国享</v>
      </c>
      <c r="K1601" s="120">
        <f>VLOOKUP(J1601,辅助信息!H:I,2,FALSE)</f>
        <v>17713876279</v>
      </c>
      <c r="L1601" s="122" t="str">
        <f>VLOOKUP(B1601,辅助信息!E:J,6,FALSE)</f>
        <v>装货前联系收货人核实到场规格，货物最下面用方木垫下方便卸货</v>
      </c>
      <c r="M1601" s="91">
        <v>45797</v>
      </c>
      <c r="O1601" s="62">
        <f ca="1" t="shared" ref="O1601:O1613" si="83">IF(OR(M1601="",N1601&lt;&gt;""),"",MAX(M1601-TODAY(),0))</f>
        <v>0</v>
      </c>
      <c r="P1601" s="62">
        <f ca="1" t="shared" ref="P1601:P1613" si="84">IF(M1601="","",IF(N1601&lt;&gt;"",MAX(N1601-M1601,0),IF(TODAY()&gt;M1601,TODAY()-M1601,0)))</f>
        <v>163</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0">
        <v>45798</v>
      </c>
      <c r="D1602" s="120" t="str">
        <f>VLOOKUP(B1602,辅助信息!E:K,7,FALSE)</f>
        <v>JWDDCD2025050800101</v>
      </c>
      <c r="E1602" s="120" t="str">
        <f>VLOOKUP(F1602,辅助信息!A:B,2,FALSE)</f>
        <v>盘螺</v>
      </c>
      <c r="F1602" s="40" t="s">
        <v>26</v>
      </c>
      <c r="G1602" s="36">
        <v>15</v>
      </c>
      <c r="H1602" s="121">
        <v>15</v>
      </c>
      <c r="I1602" s="120" t="str">
        <f>VLOOKUP(B1602,辅助信息!E:I,3,FALSE)</f>
        <v>(中铁科研院宜宾泥溪项目)中铁科研院集团有限公司宜宾市泥溪东互通式立交下穿成贵客专铁路工程项目钢筋加工厂</v>
      </c>
      <c r="J1602" s="120" t="str">
        <f>VLOOKUP(B1602,辅助信息!E:I,4,FALSE)</f>
        <v>蔡鹏</v>
      </c>
      <c r="K1602" s="120">
        <f>VLOOKUP(J1602,辅助信息!H:I,2,FALSE)</f>
        <v>19130850820</v>
      </c>
      <c r="L1602" s="122" t="str">
        <f>VLOOKUP(B1602,辅助信息!E:J,6,FALSE)</f>
        <v>装货前联系收货人核实到场规格，货物最下面用方木垫下方便卸货</v>
      </c>
      <c r="M1602" s="91">
        <v>45800</v>
      </c>
      <c r="O1602" s="62">
        <f ca="1" t="shared" si="83"/>
        <v>0</v>
      </c>
      <c r="P1602" s="62">
        <f ca="1" t="shared" si="84"/>
        <v>160</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0">
        <v>45798</v>
      </c>
      <c r="D1603" s="120" t="str">
        <f>VLOOKUP(B1603,辅助信息!E:K,7,FALSE)</f>
        <v>JWDDCD2025050800101</v>
      </c>
      <c r="E1603" s="120" t="str">
        <f>VLOOKUP(F1603,辅助信息!A:B,2,FALSE)</f>
        <v>螺纹钢</v>
      </c>
      <c r="F1603" s="40" t="s">
        <v>18</v>
      </c>
      <c r="G1603" s="36">
        <v>12</v>
      </c>
      <c r="H1603" s="121">
        <v>12</v>
      </c>
      <c r="I1603" s="120" t="str">
        <f>VLOOKUP(B1603,辅助信息!E:I,3,FALSE)</f>
        <v>(中铁科研院宜宾泥溪项目)中铁科研院集团有限公司宜宾市泥溪东互通式立交下穿成贵客专铁路工程项目钢筋加工厂</v>
      </c>
      <c r="J1603" s="120" t="str">
        <f>VLOOKUP(B1603,辅助信息!E:I,4,FALSE)</f>
        <v>蔡鹏</v>
      </c>
      <c r="K1603" s="120">
        <f>VLOOKUP(J1603,辅助信息!H:I,2,FALSE)</f>
        <v>19130850820</v>
      </c>
      <c r="L1603" s="122" t="str">
        <f>VLOOKUP(B1603,辅助信息!E:J,6,FALSE)</f>
        <v>装货前联系收货人核实到场规格，货物最下面用方木垫下方便卸货</v>
      </c>
      <c r="M1603" s="91">
        <v>45800</v>
      </c>
      <c r="O1603" s="62">
        <f ca="1" t="shared" si="83"/>
        <v>0</v>
      </c>
      <c r="P1603" s="62">
        <f ca="1" t="shared" si="84"/>
        <v>160</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0">
        <v>45798</v>
      </c>
      <c r="D1604" s="120" t="str">
        <f>VLOOKUP(B1604,辅助信息!E:K,7,FALSE)</f>
        <v>JWDDCD2025050800101</v>
      </c>
      <c r="E1604" s="120" t="str">
        <f>VLOOKUP(F1604,辅助信息!A:B,2,FALSE)</f>
        <v>螺纹钢</v>
      </c>
      <c r="F1604" s="40" t="s">
        <v>65</v>
      </c>
      <c r="G1604" s="36">
        <v>6</v>
      </c>
      <c r="H1604" s="121">
        <v>6</v>
      </c>
      <c r="I1604" s="120" t="str">
        <f>VLOOKUP(B1604,辅助信息!E:I,3,FALSE)</f>
        <v>(中铁科研院宜宾泥溪项目)中铁科研院集团有限公司宜宾市泥溪东互通式立交下穿成贵客专铁路工程项目钢筋加工厂</v>
      </c>
      <c r="J1604" s="120" t="str">
        <f>VLOOKUP(B1604,辅助信息!E:I,4,FALSE)</f>
        <v>蔡鹏</v>
      </c>
      <c r="K1604" s="120">
        <f>VLOOKUP(J1604,辅助信息!H:I,2,FALSE)</f>
        <v>19130850820</v>
      </c>
      <c r="L1604" s="122" t="str">
        <f>VLOOKUP(B1604,辅助信息!E:J,6,FALSE)</f>
        <v>装货前联系收货人核实到场规格，货物最下面用方木垫下方便卸货</v>
      </c>
      <c r="M1604" s="91">
        <v>45800</v>
      </c>
      <c r="O1604" s="62">
        <f ca="1" t="shared" si="83"/>
        <v>0</v>
      </c>
      <c r="P1604" s="62">
        <f ca="1" t="shared" si="84"/>
        <v>160</v>
      </c>
      <c r="Q1604" s="29" t="str">
        <f>VLOOKUP(B1604,辅助信息!E:M,9,FALSE)</f>
        <v>ZTWM-CDGS-XS-2025-0050-中铁科研院-宜宾泥溪项目</v>
      </c>
      <c r="R1604" s="29" t="str">
        <f>_xlfn._xlws.FILTER(辅助信息!D:D,辅助信息!E:E=B1604)</f>
        <v>中铁科研院宜宾泥溪项目</v>
      </c>
    </row>
    <row r="1605" hidden="1" spans="2:18">
      <c r="B1605" s="120" t="s">
        <v>81</v>
      </c>
      <c r="C1605" s="70">
        <v>45798</v>
      </c>
      <c r="D1605" s="120" t="str">
        <f>VLOOKUP(B1605,辅助信息!E:K,7,FALSE)</f>
        <v>JWDDCD2025060900080</v>
      </c>
      <c r="E1605" s="120" t="str">
        <f>VLOOKUP(F1605,辅助信息!A:B,2,FALSE)</f>
        <v>盘螺</v>
      </c>
      <c r="F1605" s="120" t="s">
        <v>49</v>
      </c>
      <c r="G1605" s="121">
        <v>7.5</v>
      </c>
      <c r="H1605" s="121" t="str">
        <f>_xlfn.XLOOKUP(C1605&amp;F1605&amp;I1605&amp;J1605,'[1]2025年已发货'!$F:$F&amp;'[1]2025年已发货'!$C:$C&amp;'[1]2025年已发货'!$G:$G&amp;'[1]2025年已发货'!$H:$H,'[1]2025年已发货'!$E:$E,"未发货")</f>
        <v>未发货</v>
      </c>
      <c r="I1605" s="120" t="str">
        <f>VLOOKUP(B1605,辅助信息!E:I,3,FALSE)</f>
        <v>（华西简阳西城嘉苑）四川省成都市简阳市简城街道高屋村</v>
      </c>
      <c r="J1605" s="120" t="str">
        <f>VLOOKUP(B1605,辅助信息!E:I,4,FALSE)</f>
        <v>张瀚镭</v>
      </c>
      <c r="K1605" s="120">
        <f>VLOOKUP(J1605,辅助信息!H:I,2,FALSE)</f>
        <v>15884666220</v>
      </c>
      <c r="L1605" s="122" t="str">
        <f>VLOOKUP(B1605,辅助信息!E:J,6,FALSE)</f>
        <v>现场禁止使用氢能源挂车！优先威钢发货,我方卸车,新老国标钢厂不加价可直发，因陕钢多次出现磅差，项目拒绝使用</v>
      </c>
      <c r="M1605" s="91">
        <v>45800</v>
      </c>
      <c r="O1605" s="62">
        <f ca="1" t="shared" si="83"/>
        <v>0</v>
      </c>
      <c r="P1605" s="62">
        <f ca="1" t="shared" si="84"/>
        <v>160</v>
      </c>
      <c r="Q1605" s="29" t="str">
        <f>VLOOKUP(B1605,辅助信息!E:M,9,FALSE)</f>
        <v>ZTWM-CDGS-XS-2024-0030-华西集采-简州大道</v>
      </c>
      <c r="R1605" s="29" t="str">
        <f>_xlfn._xlws.FILTER(辅助信息!D:D,辅助信息!E:E=B1605)</f>
        <v>华西简阳西城嘉苑</v>
      </c>
    </row>
    <row r="1606" hidden="1" spans="2:18">
      <c r="B1606" s="120" t="s">
        <v>81</v>
      </c>
      <c r="C1606" s="70">
        <v>45798</v>
      </c>
      <c r="D1606" s="120" t="str">
        <f>VLOOKUP(B1606,辅助信息!E:K,7,FALSE)</f>
        <v>JWDDCD2025060900080</v>
      </c>
      <c r="E1606" s="120" t="str">
        <f>VLOOKUP(F1606,辅助信息!A:B,2,FALSE)</f>
        <v>盘螺</v>
      </c>
      <c r="F1606" s="120" t="s">
        <v>41</v>
      </c>
      <c r="G1606" s="121">
        <v>10</v>
      </c>
      <c r="H1606" s="121"/>
      <c r="I1606" s="120" t="str">
        <f>VLOOKUP(B1606,辅助信息!E:I,3,FALSE)</f>
        <v>（华西简阳西城嘉苑）四川省成都市简阳市简城街道高屋村</v>
      </c>
      <c r="J1606" s="120" t="str">
        <f>VLOOKUP(B1606,辅助信息!E:I,4,FALSE)</f>
        <v>张瀚镭</v>
      </c>
      <c r="K1606" s="120">
        <f>VLOOKUP(J1606,辅助信息!H:I,2,FALSE)</f>
        <v>15884666220</v>
      </c>
      <c r="L1606" s="122" t="str">
        <f>VLOOKUP(B1606,辅助信息!E:J,6,FALSE)</f>
        <v>现场禁止使用氢能源挂车！优先威钢发货,我方卸车,新老国标钢厂不加价可直发，因陕钢多次出现磅差，项目拒绝使用</v>
      </c>
      <c r="M1606" s="91">
        <v>45800</v>
      </c>
      <c r="O1606" s="62">
        <f ca="1" t="shared" si="83"/>
        <v>0</v>
      </c>
      <c r="P1606" s="62">
        <f ca="1" t="shared" si="84"/>
        <v>160</v>
      </c>
      <c r="Q1606" s="29" t="str">
        <f>VLOOKUP(B1606,辅助信息!E:M,9,FALSE)</f>
        <v>ZTWM-CDGS-XS-2024-0030-华西集采-简州大道</v>
      </c>
      <c r="R1606" s="29" t="str">
        <f>_xlfn._xlws.FILTER(辅助信息!D:D,辅助信息!E:E=B1606)</f>
        <v>华西简阳西城嘉苑</v>
      </c>
    </row>
    <row r="1607" hidden="1" spans="2:18">
      <c r="B1607" s="120" t="s">
        <v>81</v>
      </c>
      <c r="C1607" s="70">
        <v>45798</v>
      </c>
      <c r="D1607" s="120" t="str">
        <f>VLOOKUP(B1607,辅助信息!E:K,7,FALSE)</f>
        <v>JWDDCD2025060900080</v>
      </c>
      <c r="E1607" s="120" t="str">
        <f>VLOOKUP(F1607,辅助信息!A:B,2,FALSE)</f>
        <v>盘螺</v>
      </c>
      <c r="F1607" s="120" t="s">
        <v>26</v>
      </c>
      <c r="G1607" s="121">
        <v>29</v>
      </c>
      <c r="H1607" s="121">
        <f>_xlfn.XLOOKUP(C1607&amp;F1607&amp;I1607&amp;J1607,'[1]2025年已发货'!$F:$F&amp;'[1]2025年已发货'!$C:$C&amp;'[1]2025年已发货'!$G:$G&amp;'[1]2025年已发货'!$H:$H,'[1]2025年已发货'!$E:$E,"未发货")</f>
        <v>25</v>
      </c>
      <c r="I1607" s="120" t="str">
        <f>VLOOKUP(B1607,辅助信息!E:I,3,FALSE)</f>
        <v>（华西简阳西城嘉苑）四川省成都市简阳市简城街道高屋村</v>
      </c>
      <c r="J1607" s="120" t="str">
        <f>VLOOKUP(B1607,辅助信息!E:I,4,FALSE)</f>
        <v>张瀚镭</v>
      </c>
      <c r="K1607" s="120">
        <f>VLOOKUP(J1607,辅助信息!H:I,2,FALSE)</f>
        <v>15884666220</v>
      </c>
      <c r="L1607" s="122" t="str">
        <f>VLOOKUP(B1607,辅助信息!E:J,6,FALSE)</f>
        <v>现场禁止使用氢能源挂车！优先威钢发货,我方卸车,新老国标钢厂不加价可直发，因陕钢多次出现磅差，项目拒绝使用</v>
      </c>
      <c r="M1607" s="91">
        <v>45800</v>
      </c>
      <c r="O1607" s="62">
        <f ca="1" t="shared" si="83"/>
        <v>0</v>
      </c>
      <c r="P1607" s="62">
        <f ca="1" t="shared" si="84"/>
        <v>160</v>
      </c>
      <c r="Q1607" s="29" t="str">
        <f>VLOOKUP(B1607,辅助信息!E:M,9,FALSE)</f>
        <v>ZTWM-CDGS-XS-2024-0030-华西集采-简州大道</v>
      </c>
      <c r="R1607" s="29" t="str">
        <f>_xlfn._xlws.FILTER(辅助信息!D:D,辅助信息!E:E=B1607)</f>
        <v>华西简阳西城嘉苑</v>
      </c>
    </row>
    <row r="1608" hidden="1" spans="2:18">
      <c r="B1608" s="120" t="s">
        <v>81</v>
      </c>
      <c r="C1608" s="70">
        <v>45798</v>
      </c>
      <c r="D1608" s="120" t="str">
        <f>VLOOKUP(B1608,辅助信息!E:K,7,FALSE)</f>
        <v>JWDDCD2025060900080</v>
      </c>
      <c r="E1608" s="120" t="str">
        <f>VLOOKUP(F1608,辅助信息!A:B,2,FALSE)</f>
        <v>螺纹钢</v>
      </c>
      <c r="F1608" s="120" t="s">
        <v>30</v>
      </c>
      <c r="G1608" s="121">
        <v>13.5</v>
      </c>
      <c r="H1608" s="121" t="str">
        <f>_xlfn.XLOOKUP(C1608&amp;F1608&amp;I1608&amp;J1608,'[1]2025年已发货'!$F:$F&amp;'[1]2025年已发货'!$C:$C&amp;'[1]2025年已发货'!$G:$G&amp;'[1]2025年已发货'!$H:$H,'[1]2025年已发货'!$E:$E,"未发货")</f>
        <v>未发货</v>
      </c>
      <c r="I1608" s="120" t="str">
        <f>VLOOKUP(B1608,辅助信息!E:I,3,FALSE)</f>
        <v>（华西简阳西城嘉苑）四川省成都市简阳市简城街道高屋村</v>
      </c>
      <c r="J1608" s="120" t="str">
        <f>VLOOKUP(B1608,辅助信息!E:I,4,FALSE)</f>
        <v>张瀚镭</v>
      </c>
      <c r="K1608" s="120">
        <f>VLOOKUP(J1608,辅助信息!H:I,2,FALSE)</f>
        <v>15884666220</v>
      </c>
      <c r="L1608" s="122" t="str">
        <f>VLOOKUP(B1608,辅助信息!E:J,6,FALSE)</f>
        <v>现场禁止使用氢能源挂车！优先威钢发货,我方卸车,新老国标钢厂不加价可直发，因陕钢多次出现磅差，项目拒绝使用</v>
      </c>
      <c r="M1608" s="91">
        <v>45800</v>
      </c>
      <c r="O1608" s="62">
        <f ca="1" t="shared" si="83"/>
        <v>0</v>
      </c>
      <c r="P1608" s="62">
        <f ca="1" t="shared" si="84"/>
        <v>160</v>
      </c>
      <c r="Q1608" s="29" t="str">
        <f>VLOOKUP(B1608,辅助信息!E:M,9,FALSE)</f>
        <v>ZTWM-CDGS-XS-2024-0030-华西集采-简州大道</v>
      </c>
      <c r="R1608" s="29" t="str">
        <f>_xlfn._xlws.FILTER(辅助信息!D:D,辅助信息!E:E=B1608)</f>
        <v>华西简阳西城嘉苑</v>
      </c>
    </row>
    <row r="1609" hidden="1" spans="2:18">
      <c r="B1609" s="120" t="s">
        <v>81</v>
      </c>
      <c r="C1609" s="70">
        <v>45798</v>
      </c>
      <c r="D1609" s="120" t="str">
        <f>VLOOKUP(B1609,辅助信息!E:K,7,FALSE)</f>
        <v>JWDDCD2025060900080</v>
      </c>
      <c r="E1609" s="120" t="str">
        <f>VLOOKUP(F1609,辅助信息!A:B,2,FALSE)</f>
        <v>螺纹钢</v>
      </c>
      <c r="F1609" s="120" t="s">
        <v>33</v>
      </c>
      <c r="G1609" s="121">
        <v>14</v>
      </c>
      <c r="H1609" s="121">
        <v>12</v>
      </c>
      <c r="I1609" s="120" t="str">
        <f>VLOOKUP(B1609,辅助信息!E:I,3,FALSE)</f>
        <v>（华西简阳西城嘉苑）四川省成都市简阳市简城街道高屋村</v>
      </c>
      <c r="J1609" s="120" t="str">
        <f>VLOOKUP(B1609,辅助信息!E:I,4,FALSE)</f>
        <v>张瀚镭</v>
      </c>
      <c r="K1609" s="120">
        <f>VLOOKUP(J1609,辅助信息!H:I,2,FALSE)</f>
        <v>15884666220</v>
      </c>
      <c r="L1609" s="122" t="str">
        <f>VLOOKUP(B1609,辅助信息!E:J,6,FALSE)</f>
        <v>现场禁止使用氢能源挂车！优先威钢发货,我方卸车,新老国标钢厂不加价可直发，因陕钢多次出现磅差，项目拒绝使用</v>
      </c>
      <c r="M1609" s="91">
        <v>45800</v>
      </c>
      <c r="O1609" s="62">
        <f ca="1" t="shared" si="83"/>
        <v>0</v>
      </c>
      <c r="P1609" s="62">
        <f ca="1" t="shared" si="84"/>
        <v>160</v>
      </c>
      <c r="Q1609" s="29" t="str">
        <f>VLOOKUP(B1609,辅助信息!E:M,9,FALSE)</f>
        <v>ZTWM-CDGS-XS-2024-0030-华西集采-简州大道</v>
      </c>
      <c r="R1609" s="29" t="str">
        <f>_xlfn._xlws.FILTER(辅助信息!D:D,辅助信息!E:E=B1609)</f>
        <v>华西简阳西城嘉苑</v>
      </c>
    </row>
    <row r="1610" hidden="1" spans="2:17">
      <c r="B1610" s="40" t="s">
        <v>147</v>
      </c>
      <c r="C1610" s="70">
        <v>45798</v>
      </c>
      <c r="D1610" s="120" t="str">
        <f>VLOOKUP(B1610,辅助信息!E:K,7,FALSE)</f>
        <v>JWDDCD2025052800131</v>
      </c>
      <c r="E1610" s="120" t="str">
        <f>VLOOKUP(F1610,辅助信息!A:B,2,FALSE)</f>
        <v>高线</v>
      </c>
      <c r="F1610" s="40" t="s">
        <v>57</v>
      </c>
      <c r="G1610" s="36">
        <v>13</v>
      </c>
      <c r="H1610" s="121" t="str">
        <f>_xlfn.XLOOKUP(C1610&amp;F1610&amp;I1610&amp;J1610,'[1]2025年已发货'!$F:$F&amp;'[1]2025年已发货'!$C:$C&amp;'[1]2025年已发货'!$G:$G&amp;'[1]2025年已发货'!$H:$H,'[1]2025年已发货'!$E:$E,"未发货")</f>
        <v>未发货</v>
      </c>
      <c r="I1610" s="120" t="str">
        <f>VLOOKUP(B1610,辅助信息!E:I,3,FALSE)</f>
        <v>（商投建工达州中医药科技园-4工区-11号楼）达州市通川区达州中医药职业学院犀牛大道北段</v>
      </c>
      <c r="J1610" s="120" t="str">
        <f>VLOOKUP(B1610,辅助信息!E:I,4,FALSE)</f>
        <v>张扬</v>
      </c>
      <c r="K1610" s="120">
        <f>VLOOKUP(J1610,辅助信息!H:I,2,FALSE)</f>
        <v>18381904567</v>
      </c>
      <c r="L1610" s="122" t="str">
        <f>VLOOKUP(B1610,辅助信息!E:J,6,FALSE)</f>
        <v>控制炉批号！多了现场不收！,优先安排达钢,提前联系到场规格及数量</v>
      </c>
      <c r="M1610" s="91">
        <v>45799</v>
      </c>
      <c r="O1610" s="62">
        <f ca="1" t="shared" si="83"/>
        <v>0</v>
      </c>
      <c r="P1610" s="62">
        <f ca="1" t="shared" si="84"/>
        <v>161</v>
      </c>
      <c r="Q1610" s="29" t="str">
        <f>VLOOKUP(B1610,辅助信息!E:M,9,FALSE)</f>
        <v>ZTWM-CDGS-XS-2024-0134-商投建工达州中医药科技成果示范园项目</v>
      </c>
    </row>
    <row r="1611" hidden="1" spans="2:17">
      <c r="B1611" s="40" t="s">
        <v>147</v>
      </c>
      <c r="C1611" s="70">
        <v>45798</v>
      </c>
      <c r="D1611" s="120" t="str">
        <f>VLOOKUP(B1611,辅助信息!E:K,7,FALSE)</f>
        <v>JWDDCD2025052800131</v>
      </c>
      <c r="E1611" s="120" t="str">
        <f>VLOOKUP(F1611,辅助信息!A:B,2,FALSE)</f>
        <v>盘螺</v>
      </c>
      <c r="F1611" s="40" t="s">
        <v>49</v>
      </c>
      <c r="G1611" s="36">
        <v>6</v>
      </c>
      <c r="H1611" s="121" t="str">
        <f>_xlfn.XLOOKUP(C1611&amp;F1611&amp;I1611&amp;J1611,'[1]2025年已发货'!$F:$F&amp;'[1]2025年已发货'!$C:$C&amp;'[1]2025年已发货'!$G:$G&amp;'[1]2025年已发货'!$H:$H,'[1]2025年已发货'!$E:$E,"未发货")</f>
        <v>未发货</v>
      </c>
      <c r="I1611" s="120" t="str">
        <f>VLOOKUP(B1611,辅助信息!E:I,3,FALSE)</f>
        <v>（商投建工达州中医药科技园-4工区-11号楼）达州市通川区达州中医药职业学院犀牛大道北段</v>
      </c>
      <c r="J1611" s="120" t="str">
        <f>VLOOKUP(B1611,辅助信息!E:I,4,FALSE)</f>
        <v>张扬</v>
      </c>
      <c r="K1611" s="120">
        <f>VLOOKUP(J1611,辅助信息!H:I,2,FALSE)</f>
        <v>18381904567</v>
      </c>
      <c r="L1611" s="122" t="str">
        <f>VLOOKUP(B1611,辅助信息!E:J,6,FALSE)</f>
        <v>控制炉批号！多了现场不收！,优先安排达钢,提前联系到场规格及数量</v>
      </c>
      <c r="M1611" s="91">
        <v>45799</v>
      </c>
      <c r="O1611" s="62">
        <f ca="1" t="shared" si="83"/>
        <v>0</v>
      </c>
      <c r="P1611" s="62">
        <f ca="1" t="shared" si="84"/>
        <v>161</v>
      </c>
      <c r="Q1611" s="29" t="str">
        <f>VLOOKUP(B1611,辅助信息!E:M,9,FALSE)</f>
        <v>ZTWM-CDGS-XS-2024-0134-商投建工达州中医药科技成果示范园项目</v>
      </c>
    </row>
    <row r="1612" hidden="1" spans="2:17">
      <c r="B1612" s="40" t="s">
        <v>147</v>
      </c>
      <c r="C1612" s="70">
        <v>45798</v>
      </c>
      <c r="D1612" s="120" t="str">
        <f>VLOOKUP(B1612,辅助信息!E:K,7,FALSE)</f>
        <v>JWDDCD2025052800131</v>
      </c>
      <c r="E1612" s="120" t="str">
        <f>VLOOKUP(F1612,辅助信息!A:B,2,FALSE)</f>
        <v>螺纹钢</v>
      </c>
      <c r="F1612" s="40" t="s">
        <v>32</v>
      </c>
      <c r="G1612" s="36">
        <v>6</v>
      </c>
      <c r="H1612" s="121" t="str">
        <f>_xlfn.XLOOKUP(C1612&amp;F1612&amp;I1612&amp;J1612,'[1]2025年已发货'!$F:$F&amp;'[1]2025年已发货'!$C:$C&amp;'[1]2025年已发货'!$G:$G&amp;'[1]2025年已发货'!$H:$H,'[1]2025年已发货'!$E:$E,"未发货")</f>
        <v>未发货</v>
      </c>
      <c r="I1612" s="120" t="str">
        <f>VLOOKUP(B1612,辅助信息!E:I,3,FALSE)</f>
        <v>（商投建工达州中医药科技园-4工区-11号楼）达州市通川区达州中医药职业学院犀牛大道北段</v>
      </c>
      <c r="J1612" s="120" t="str">
        <f>VLOOKUP(B1612,辅助信息!E:I,4,FALSE)</f>
        <v>张扬</v>
      </c>
      <c r="K1612" s="120">
        <f>VLOOKUP(J1612,辅助信息!H:I,2,FALSE)</f>
        <v>18381904567</v>
      </c>
      <c r="L1612" s="122" t="str">
        <f>VLOOKUP(B1612,辅助信息!E:J,6,FALSE)</f>
        <v>控制炉批号！多了现场不收！,优先安排达钢,提前联系到场规格及数量</v>
      </c>
      <c r="M1612" s="91">
        <v>45799</v>
      </c>
      <c r="O1612" s="62">
        <f ca="1" t="shared" si="83"/>
        <v>0</v>
      </c>
      <c r="P1612" s="62">
        <f ca="1" t="shared" si="84"/>
        <v>161</v>
      </c>
      <c r="Q1612" s="29" t="str">
        <f>VLOOKUP(B1612,辅助信息!E:M,9,FALSE)</f>
        <v>ZTWM-CDGS-XS-2024-0134-商投建工达州中医药科技成果示范园项目</v>
      </c>
    </row>
    <row r="1613" hidden="1" spans="2:17">
      <c r="B1613" s="40" t="s">
        <v>147</v>
      </c>
      <c r="C1613" s="70">
        <v>45798</v>
      </c>
      <c r="D1613" s="120" t="str">
        <f>VLOOKUP(B1613,辅助信息!E:K,7,FALSE)</f>
        <v>JWDDCD2025052800131</v>
      </c>
      <c r="E1613" s="120" t="str">
        <f>VLOOKUP(F1613,辅助信息!A:B,2,FALSE)</f>
        <v>螺纹钢</v>
      </c>
      <c r="F1613" s="40" t="s">
        <v>18</v>
      </c>
      <c r="G1613" s="36">
        <v>9</v>
      </c>
      <c r="H1613" s="121" t="str">
        <f>_xlfn.XLOOKUP(C1613&amp;F1613&amp;I1613&amp;J1613,'[1]2025年已发货'!$F:$F&amp;'[1]2025年已发货'!$C:$C&amp;'[1]2025年已发货'!$G:$G&amp;'[1]2025年已发货'!$H:$H,'[1]2025年已发货'!$E:$E,"未发货")</f>
        <v>未发货</v>
      </c>
      <c r="I1613" s="120" t="str">
        <f>VLOOKUP(B1613,辅助信息!E:I,3,FALSE)</f>
        <v>（商投建工达州中医药科技园-4工区-11号楼）达州市通川区达州中医药职业学院犀牛大道北段</v>
      </c>
      <c r="J1613" s="120" t="str">
        <f>VLOOKUP(B1613,辅助信息!E:I,4,FALSE)</f>
        <v>张扬</v>
      </c>
      <c r="K1613" s="120">
        <f>VLOOKUP(J1613,辅助信息!H:I,2,FALSE)</f>
        <v>18381904567</v>
      </c>
      <c r="L1613" s="122" t="str">
        <f>VLOOKUP(B1613,辅助信息!E:J,6,FALSE)</f>
        <v>控制炉批号！多了现场不收！,优先安排达钢,提前联系到场规格及数量</v>
      </c>
      <c r="M1613" s="91">
        <v>45799</v>
      </c>
      <c r="O1613" s="62">
        <f ca="1" t="shared" si="83"/>
        <v>0</v>
      </c>
      <c r="P1613" s="62">
        <f ca="1" t="shared" si="84"/>
        <v>161</v>
      </c>
      <c r="Q1613" s="29" t="str">
        <f>VLOOKUP(B1613,辅助信息!E:M,9,FALSE)</f>
        <v>ZTWM-CDGS-XS-2024-0134-商投建工达州中医药科技成果示范园项目</v>
      </c>
    </row>
    <row r="1614" hidden="1" spans="2:17">
      <c r="B1614" s="40" t="s">
        <v>81</v>
      </c>
      <c r="C1614" s="70">
        <v>45798</v>
      </c>
      <c r="D1614" s="120" t="str">
        <f>VLOOKUP(B1614,辅助信息!E:K,7,FALSE)</f>
        <v>JWDDCD2025060900080</v>
      </c>
      <c r="E1614" s="120" t="str">
        <f>VLOOKUP(F1614,辅助信息!A:B,2,FALSE)</f>
        <v>盘螺</v>
      </c>
      <c r="F1614" s="40" t="s">
        <v>49</v>
      </c>
      <c r="G1614" s="36">
        <v>3</v>
      </c>
      <c r="H1614" s="121" t="str">
        <f>_xlfn.XLOOKUP(C1614&amp;F1614&amp;I1614&amp;J1614,'[1]2025年已发货'!$F:$F&amp;'[1]2025年已发货'!$C:$C&amp;'[1]2025年已发货'!$G:$G&amp;'[1]2025年已发货'!$H:$H,'[1]2025年已发货'!$E:$E,"未发货")</f>
        <v>未发货</v>
      </c>
      <c r="I1614" s="120" t="str">
        <f>VLOOKUP(B1614,辅助信息!E:I,3,FALSE)</f>
        <v>（华西简阳西城嘉苑）四川省成都市简阳市简城街道高屋村</v>
      </c>
      <c r="J1614" s="120" t="str">
        <f>VLOOKUP(B1614,辅助信息!E:I,4,FALSE)</f>
        <v>张瀚镭</v>
      </c>
      <c r="K1614" s="120">
        <f>VLOOKUP(J1614,辅助信息!H:I,2,FALSE)</f>
        <v>15884666220</v>
      </c>
      <c r="L1614" s="122" t="str">
        <f>VLOOKUP(B1614,辅助信息!E:J,6,FALSE)</f>
        <v>现场禁止使用氢能源挂车！优先威钢发货,我方卸车,新老国标钢厂不加价可直发，因陕钢多次出现磅差，项目拒绝使用</v>
      </c>
      <c r="M1614" s="91">
        <v>45799</v>
      </c>
      <c r="O1614" s="62">
        <f ca="1" t="shared" ref="O1614:O1635" si="85">IF(OR(M1614="",N1614&lt;&gt;""),"",MAX(M1614-TODAY(),0))</f>
        <v>0</v>
      </c>
      <c r="P1614" s="62">
        <f ca="1" t="shared" ref="P1614:P1635" si="86">IF(M1614="","",IF(N1614&lt;&gt;"",MAX(N1614-M1614,0),IF(TODAY()&gt;M1614,TODAY()-M1614,0)))</f>
        <v>161</v>
      </c>
      <c r="Q1614" s="29" t="str">
        <f>VLOOKUP(B1614,辅助信息!E:M,9,FALSE)</f>
        <v>ZTWM-CDGS-XS-2024-0030-华西集采-简州大道</v>
      </c>
    </row>
    <row r="1615" hidden="1" spans="2:17">
      <c r="B1615" s="40" t="s">
        <v>81</v>
      </c>
      <c r="C1615" s="70">
        <v>45798</v>
      </c>
      <c r="D1615" s="120" t="str">
        <f>VLOOKUP(B1615,辅助信息!E:K,7,FALSE)</f>
        <v>JWDDCD2025060900080</v>
      </c>
      <c r="E1615" s="120" t="str">
        <f>VLOOKUP(F1615,辅助信息!A:B,2,FALSE)</f>
        <v>盘螺</v>
      </c>
      <c r="F1615" s="40" t="s">
        <v>40</v>
      </c>
      <c r="G1615" s="36">
        <v>14</v>
      </c>
      <c r="H1615" s="121">
        <f>_xlfn.XLOOKUP(C1615&amp;F1615&amp;I1615&amp;J1615,'[1]2025年已发货'!$F:$F&amp;'[1]2025年已发货'!$C:$C&amp;'[1]2025年已发货'!$G:$G&amp;'[1]2025年已发货'!$H:$H,'[1]2025年已发货'!$E:$E,"未发货")</f>
        <v>15</v>
      </c>
      <c r="I1615" s="120" t="str">
        <f>VLOOKUP(B1615,辅助信息!E:I,3,FALSE)</f>
        <v>（华西简阳西城嘉苑）四川省成都市简阳市简城街道高屋村</v>
      </c>
      <c r="J1615" s="120" t="str">
        <f>VLOOKUP(B1615,辅助信息!E:I,4,FALSE)</f>
        <v>张瀚镭</v>
      </c>
      <c r="K1615" s="120">
        <f>VLOOKUP(J1615,辅助信息!H:I,2,FALSE)</f>
        <v>15884666220</v>
      </c>
      <c r="L1615" s="122" t="str">
        <f>VLOOKUP(B1615,辅助信息!E:J,6,FALSE)</f>
        <v>现场禁止使用氢能源挂车！优先威钢发货,我方卸车,新老国标钢厂不加价可直发，因陕钢多次出现磅差，项目拒绝使用</v>
      </c>
      <c r="M1615" s="91">
        <v>45799</v>
      </c>
      <c r="O1615" s="62">
        <f ca="1" t="shared" si="85"/>
        <v>0</v>
      </c>
      <c r="P1615" s="62">
        <f ca="1" t="shared" si="86"/>
        <v>161</v>
      </c>
      <c r="Q1615" s="29" t="str">
        <f>VLOOKUP(B1615,辅助信息!E:M,9,FALSE)</f>
        <v>ZTWM-CDGS-XS-2024-0030-华西集采-简州大道</v>
      </c>
    </row>
    <row r="1616" hidden="1" spans="2:17">
      <c r="B1616" s="40" t="s">
        <v>81</v>
      </c>
      <c r="C1616" s="70">
        <v>45798</v>
      </c>
      <c r="D1616" s="120" t="str">
        <f>VLOOKUP(B1616,辅助信息!E:K,7,FALSE)</f>
        <v>JWDDCD2025060900080</v>
      </c>
      <c r="E1616" s="120" t="str">
        <f>VLOOKUP(F1616,辅助信息!A:B,2,FALSE)</f>
        <v>盘螺</v>
      </c>
      <c r="F1616" s="40" t="s">
        <v>41</v>
      </c>
      <c r="G1616" s="36">
        <v>30</v>
      </c>
      <c r="H1616" s="121">
        <f>_xlfn.XLOOKUP(C1616&amp;F1616&amp;I1616&amp;J1616,'[1]2025年已发货'!$F:$F&amp;'[1]2025年已发货'!$C:$C&amp;'[1]2025年已发货'!$G:$G&amp;'[1]2025年已发货'!$H:$H,'[1]2025年已发货'!$E:$E,"未发货")</f>
        <v>30</v>
      </c>
      <c r="I1616" s="120" t="str">
        <f>VLOOKUP(B1616,辅助信息!E:I,3,FALSE)</f>
        <v>（华西简阳西城嘉苑）四川省成都市简阳市简城街道高屋村</v>
      </c>
      <c r="J1616" s="120" t="str">
        <f>VLOOKUP(B1616,辅助信息!E:I,4,FALSE)</f>
        <v>张瀚镭</v>
      </c>
      <c r="K1616" s="120">
        <f>VLOOKUP(J1616,辅助信息!H:I,2,FALSE)</f>
        <v>15884666220</v>
      </c>
      <c r="L1616" s="122" t="str">
        <f>VLOOKUP(B1616,辅助信息!E:J,6,FALSE)</f>
        <v>现场禁止使用氢能源挂车！优先威钢发货,我方卸车,新老国标钢厂不加价可直发，因陕钢多次出现磅差，项目拒绝使用</v>
      </c>
      <c r="M1616" s="91">
        <v>45799</v>
      </c>
      <c r="O1616" s="62">
        <f ca="1" t="shared" si="85"/>
        <v>0</v>
      </c>
      <c r="P1616" s="62">
        <f ca="1" t="shared" si="86"/>
        <v>161</v>
      </c>
      <c r="Q1616" s="29" t="str">
        <f>VLOOKUP(B1616,辅助信息!E:M,9,FALSE)</f>
        <v>ZTWM-CDGS-XS-2024-0030-华西集采-简州大道</v>
      </c>
    </row>
    <row r="1617" hidden="1" spans="2:17">
      <c r="B1617" s="40" t="s">
        <v>81</v>
      </c>
      <c r="C1617" s="70">
        <v>45798</v>
      </c>
      <c r="D1617" s="120" t="str">
        <f>VLOOKUP(B1617,辅助信息!E:K,7,FALSE)</f>
        <v>JWDDCD2025060900080</v>
      </c>
      <c r="E1617" s="120" t="str">
        <f>VLOOKUP(F1617,辅助信息!A:B,2,FALSE)</f>
        <v>盘螺</v>
      </c>
      <c r="F1617" s="40" t="s">
        <v>26</v>
      </c>
      <c r="G1617" s="36">
        <v>30</v>
      </c>
      <c r="H1617" s="121"/>
      <c r="I1617" s="120" t="str">
        <f>VLOOKUP(B1617,辅助信息!E:I,3,FALSE)</f>
        <v>（华西简阳西城嘉苑）四川省成都市简阳市简城街道高屋村</v>
      </c>
      <c r="J1617" s="120" t="str">
        <f>VLOOKUP(B1617,辅助信息!E:I,4,FALSE)</f>
        <v>张瀚镭</v>
      </c>
      <c r="K1617" s="120">
        <f>VLOOKUP(J1617,辅助信息!H:I,2,FALSE)</f>
        <v>15884666220</v>
      </c>
      <c r="L1617" s="122" t="str">
        <f>VLOOKUP(B1617,辅助信息!E:J,6,FALSE)</f>
        <v>现场禁止使用氢能源挂车！优先威钢发货,我方卸车,新老国标钢厂不加价可直发，因陕钢多次出现磅差，项目拒绝使用</v>
      </c>
      <c r="M1617" s="91">
        <v>45799</v>
      </c>
      <c r="O1617" s="62">
        <f ca="1" t="shared" si="85"/>
        <v>0</v>
      </c>
      <c r="P1617" s="62">
        <f ca="1" t="shared" si="86"/>
        <v>161</v>
      </c>
      <c r="Q1617" s="29" t="str">
        <f>VLOOKUP(B1617,辅助信息!E:M,9,FALSE)</f>
        <v>ZTWM-CDGS-XS-2024-0030-华西集采-简州大道</v>
      </c>
    </row>
    <row r="1618" hidden="1" spans="2:17">
      <c r="B1618" s="40" t="s">
        <v>81</v>
      </c>
      <c r="C1618" s="70">
        <v>45798</v>
      </c>
      <c r="D1618" s="120" t="str">
        <f>VLOOKUP(B1618,辅助信息!E:K,7,FALSE)</f>
        <v>JWDDCD2025060900080</v>
      </c>
      <c r="E1618" s="120" t="str">
        <f>VLOOKUP(F1618,辅助信息!A:B,2,FALSE)</f>
        <v>螺纹钢</v>
      </c>
      <c r="F1618" s="40" t="s">
        <v>32</v>
      </c>
      <c r="G1618" s="36">
        <v>5</v>
      </c>
      <c r="H1618" s="121">
        <f>_xlfn.XLOOKUP(C1618&amp;F1618&amp;I1618&amp;J1618,'[1]2025年已发货'!$F:$F&amp;'[1]2025年已发货'!$C:$C&amp;'[1]2025年已发货'!$G:$G&amp;'[1]2025年已发货'!$H:$H,'[1]2025年已发货'!$E:$E,"未发货")</f>
        <v>6</v>
      </c>
      <c r="I1618" s="120" t="str">
        <f>VLOOKUP(B1618,辅助信息!E:I,3,FALSE)</f>
        <v>（华西简阳西城嘉苑）四川省成都市简阳市简城街道高屋村</v>
      </c>
      <c r="J1618" s="120" t="str">
        <f>VLOOKUP(B1618,辅助信息!E:I,4,FALSE)</f>
        <v>张瀚镭</v>
      </c>
      <c r="K1618" s="120">
        <f>VLOOKUP(J1618,辅助信息!H:I,2,FALSE)</f>
        <v>15884666220</v>
      </c>
      <c r="L1618" s="122" t="str">
        <f>VLOOKUP(B1618,辅助信息!E:J,6,FALSE)</f>
        <v>现场禁止使用氢能源挂车！优先威钢发货,我方卸车,新老国标钢厂不加价可直发，因陕钢多次出现磅差，项目拒绝使用</v>
      </c>
      <c r="M1618" s="91">
        <v>45799</v>
      </c>
      <c r="O1618" s="62">
        <f ca="1" t="shared" si="85"/>
        <v>0</v>
      </c>
      <c r="P1618" s="62">
        <f ca="1" t="shared" si="86"/>
        <v>161</v>
      </c>
      <c r="Q1618" s="29" t="str">
        <f>VLOOKUP(B1618,辅助信息!E:M,9,FALSE)</f>
        <v>ZTWM-CDGS-XS-2024-0030-华西集采-简州大道</v>
      </c>
    </row>
    <row r="1619" hidden="1" spans="2:17">
      <c r="B1619" s="40" t="s">
        <v>81</v>
      </c>
      <c r="C1619" s="70">
        <v>45798</v>
      </c>
      <c r="D1619" s="120" t="str">
        <f>VLOOKUP(B1619,辅助信息!E:K,7,FALSE)</f>
        <v>JWDDCD2025060900080</v>
      </c>
      <c r="E1619" s="120" t="str">
        <f>VLOOKUP(F1619,辅助信息!A:B,2,FALSE)</f>
        <v>螺纹钢</v>
      </c>
      <c r="F1619" s="40" t="s">
        <v>30</v>
      </c>
      <c r="G1619" s="36">
        <v>20</v>
      </c>
      <c r="H1619" s="121" t="str">
        <f>_xlfn.XLOOKUP(C1619&amp;F1619&amp;I1619&amp;J1619,'[1]2025年已发货'!$F:$F&amp;'[1]2025年已发货'!$C:$C&amp;'[1]2025年已发货'!$G:$G&amp;'[1]2025年已发货'!$H:$H,'[1]2025年已发货'!$E:$E,"未发货")</f>
        <v>未发货</v>
      </c>
      <c r="I1619" s="120" t="str">
        <f>VLOOKUP(B1619,辅助信息!E:I,3,FALSE)</f>
        <v>（华西简阳西城嘉苑）四川省成都市简阳市简城街道高屋村</v>
      </c>
      <c r="J1619" s="120" t="str">
        <f>VLOOKUP(B1619,辅助信息!E:I,4,FALSE)</f>
        <v>张瀚镭</v>
      </c>
      <c r="K1619" s="120">
        <f>VLOOKUP(J1619,辅助信息!H:I,2,FALSE)</f>
        <v>15884666220</v>
      </c>
      <c r="L1619" s="122" t="str">
        <f>VLOOKUP(B1619,辅助信息!E:J,6,FALSE)</f>
        <v>现场禁止使用氢能源挂车！优先威钢发货,我方卸车,新老国标钢厂不加价可直发，因陕钢多次出现磅差，项目拒绝使用</v>
      </c>
      <c r="M1619" s="91">
        <v>45799</v>
      </c>
      <c r="O1619" s="62">
        <f ca="1" t="shared" si="85"/>
        <v>0</v>
      </c>
      <c r="P1619" s="62">
        <f ca="1" t="shared" si="86"/>
        <v>161</v>
      </c>
      <c r="Q1619" s="29" t="str">
        <f>VLOOKUP(B1619,辅助信息!E:M,9,FALSE)</f>
        <v>ZTWM-CDGS-XS-2024-0030-华西集采-简州大道</v>
      </c>
    </row>
    <row r="1620" hidden="1" spans="2:17">
      <c r="B1620" s="40" t="s">
        <v>81</v>
      </c>
      <c r="C1620" s="70">
        <v>45798</v>
      </c>
      <c r="D1620" s="120" t="str">
        <f>VLOOKUP(B1620,辅助信息!E:K,7,FALSE)</f>
        <v>JWDDCD2025060900080</v>
      </c>
      <c r="E1620" s="120" t="str">
        <f>VLOOKUP(F1620,辅助信息!A:B,2,FALSE)</f>
        <v>螺纹钢</v>
      </c>
      <c r="F1620" s="40" t="s">
        <v>33</v>
      </c>
      <c r="G1620" s="36">
        <v>12</v>
      </c>
      <c r="H1620" s="121">
        <v>12</v>
      </c>
      <c r="I1620" s="120" t="str">
        <f>VLOOKUP(B1620,辅助信息!E:I,3,FALSE)</f>
        <v>（华西简阳西城嘉苑）四川省成都市简阳市简城街道高屋村</v>
      </c>
      <c r="J1620" s="120" t="str">
        <f>VLOOKUP(B1620,辅助信息!E:I,4,FALSE)</f>
        <v>张瀚镭</v>
      </c>
      <c r="K1620" s="120">
        <f>VLOOKUP(J1620,辅助信息!H:I,2,FALSE)</f>
        <v>15884666220</v>
      </c>
      <c r="L1620" s="122" t="str">
        <f>VLOOKUP(B1620,辅助信息!E:J,6,FALSE)</f>
        <v>现场禁止使用氢能源挂车！优先威钢发货,我方卸车,新老国标钢厂不加价可直发，因陕钢多次出现磅差，项目拒绝使用</v>
      </c>
      <c r="M1620" s="91">
        <v>45799</v>
      </c>
      <c r="O1620" s="62">
        <f ca="1" t="shared" si="85"/>
        <v>0</v>
      </c>
      <c r="P1620" s="62">
        <f ca="1" t="shared" si="86"/>
        <v>161</v>
      </c>
      <c r="Q1620" s="29" t="str">
        <f>VLOOKUP(B1620,辅助信息!E:M,9,FALSE)</f>
        <v>ZTWM-CDGS-XS-2024-0030-华西集采-简州大道</v>
      </c>
    </row>
    <row r="1621" hidden="1" spans="2:17">
      <c r="B1621" s="40" t="s">
        <v>81</v>
      </c>
      <c r="C1621" s="70">
        <v>45798</v>
      </c>
      <c r="D1621" s="120" t="str">
        <f>VLOOKUP(B1621,辅助信息!E:K,7,FALSE)</f>
        <v>JWDDCD2025060900080</v>
      </c>
      <c r="E1621" s="120" t="str">
        <f>VLOOKUP(F1621,辅助信息!A:B,2,FALSE)</f>
        <v>螺纹钢</v>
      </c>
      <c r="F1621" s="40" t="s">
        <v>28</v>
      </c>
      <c r="G1621" s="36">
        <v>3</v>
      </c>
      <c r="H1621" s="121">
        <f>_xlfn.XLOOKUP(C1621&amp;F1621&amp;I1621&amp;J1621,'[1]2025年已发货'!$F:$F&amp;'[1]2025年已发货'!$C:$C&amp;'[1]2025年已发货'!$G:$G&amp;'[1]2025年已发货'!$H:$H,'[1]2025年已发货'!$E:$E,"未发货")</f>
        <v>3</v>
      </c>
      <c r="I1621" s="120" t="str">
        <f>VLOOKUP(B1621,辅助信息!E:I,3,FALSE)</f>
        <v>（华西简阳西城嘉苑）四川省成都市简阳市简城街道高屋村</v>
      </c>
      <c r="J1621" s="120" t="str">
        <f>VLOOKUP(B1621,辅助信息!E:I,4,FALSE)</f>
        <v>张瀚镭</v>
      </c>
      <c r="K1621" s="120">
        <f>VLOOKUP(J1621,辅助信息!H:I,2,FALSE)</f>
        <v>15884666220</v>
      </c>
      <c r="L1621" s="122" t="str">
        <f>VLOOKUP(B1621,辅助信息!E:J,6,FALSE)</f>
        <v>现场禁止使用氢能源挂车！优先威钢发货,我方卸车,新老国标钢厂不加价可直发，因陕钢多次出现磅差，项目拒绝使用</v>
      </c>
      <c r="M1621" s="91">
        <v>45799</v>
      </c>
      <c r="O1621" s="62">
        <f ca="1" t="shared" si="85"/>
        <v>0</v>
      </c>
      <c r="P1621" s="62">
        <f ca="1" t="shared" si="86"/>
        <v>161</v>
      </c>
      <c r="Q1621" s="29" t="str">
        <f>VLOOKUP(B1621,辅助信息!E:M,9,FALSE)</f>
        <v>ZTWM-CDGS-XS-2024-0030-华西集采-简州大道</v>
      </c>
    </row>
    <row r="1622" hidden="1" spans="2:17">
      <c r="B1622" s="40" t="s">
        <v>81</v>
      </c>
      <c r="C1622" s="70">
        <v>45798</v>
      </c>
      <c r="D1622" s="120" t="str">
        <f>VLOOKUP(B1622,辅助信息!E:K,7,FALSE)</f>
        <v>JWDDCD2025060900080</v>
      </c>
      <c r="E1622" s="120" t="str">
        <f>VLOOKUP(F1622,辅助信息!A:B,2,FALSE)</f>
        <v>螺纹钢</v>
      </c>
      <c r="F1622" s="40" t="s">
        <v>18</v>
      </c>
      <c r="G1622" s="36">
        <v>3</v>
      </c>
      <c r="H1622" s="121">
        <f>_xlfn.XLOOKUP(C1622&amp;F1622&amp;I1622&amp;J1622,'[1]2025年已发货'!$F:$F&amp;'[1]2025年已发货'!$C:$C&amp;'[1]2025年已发货'!$G:$G&amp;'[1]2025年已发货'!$H:$H,'[1]2025年已发货'!$E:$E,"未发货")</f>
        <v>3</v>
      </c>
      <c r="I1622" s="120" t="str">
        <f>VLOOKUP(B1622,辅助信息!E:I,3,FALSE)</f>
        <v>（华西简阳西城嘉苑）四川省成都市简阳市简城街道高屋村</v>
      </c>
      <c r="J1622" s="120" t="str">
        <f>VLOOKUP(B1622,辅助信息!E:I,4,FALSE)</f>
        <v>张瀚镭</v>
      </c>
      <c r="K1622" s="120">
        <f>VLOOKUP(J1622,辅助信息!H:I,2,FALSE)</f>
        <v>15884666220</v>
      </c>
      <c r="L1622" s="122" t="str">
        <f>VLOOKUP(B1622,辅助信息!E:J,6,FALSE)</f>
        <v>现场禁止使用氢能源挂车！优先威钢发货,我方卸车,新老国标钢厂不加价可直发，因陕钢多次出现磅差，项目拒绝使用</v>
      </c>
      <c r="M1622" s="91">
        <v>45799</v>
      </c>
      <c r="O1622" s="62">
        <f ca="1" t="shared" si="85"/>
        <v>0</v>
      </c>
      <c r="P1622" s="62">
        <f ca="1" t="shared" si="86"/>
        <v>161</v>
      </c>
      <c r="Q1622" s="29" t="str">
        <f>VLOOKUP(B1622,辅助信息!E:M,9,FALSE)</f>
        <v>ZTWM-CDGS-XS-2024-0030-华西集采-简州大道</v>
      </c>
    </row>
    <row r="1623" hidden="1" spans="2:17">
      <c r="B1623" s="40" t="s">
        <v>155</v>
      </c>
      <c r="C1623" s="70">
        <v>45798</v>
      </c>
      <c r="D1623" s="120" t="str">
        <f>VLOOKUP(B1623,辅助信息!E:K,7,FALSE)</f>
        <v>JWDDCD2024101600133</v>
      </c>
      <c r="E1623" s="120" t="str">
        <f>VLOOKUP(F1623,辅助信息!A:B,2,FALSE)</f>
        <v>高线</v>
      </c>
      <c r="F1623" s="40" t="s">
        <v>51</v>
      </c>
      <c r="G1623" s="36">
        <v>2.5</v>
      </c>
      <c r="H1623" s="121">
        <f>_xlfn.XLOOKUP(C1623&amp;F1623&amp;I1623&amp;J1623,'[1]2025年已发货'!$F:$F&amp;'[1]2025年已发货'!$C:$C&amp;'[1]2025年已发货'!$G:$G&amp;'[1]2025年已发货'!$H:$H,'[1]2025年已发货'!$E:$E,"未发货")</f>
        <v>2.5</v>
      </c>
      <c r="I1623" s="120" t="str">
        <f>VLOOKUP(B1623,辅助信息!E:I,3,FALSE)</f>
        <v>(五冶钢构宜宾高县月江镇建设项目-308亩平场项目)宜宾市高县月江镇三转湾(308亩平场项目)</v>
      </c>
      <c r="J1623" s="120" t="str">
        <f>VLOOKUP(B1623,辅助信息!E:I,4,FALSE)</f>
        <v>张朝亮</v>
      </c>
      <c r="K1623" s="120">
        <f>VLOOKUP(J1623,辅助信息!H:I,2,FALSE)</f>
        <v>15228205853</v>
      </c>
      <c r="L1623" s="122" t="str">
        <f>VLOOKUP(B1623,辅助信息!E:J,6,FALSE)</f>
        <v>提前联系到场规格</v>
      </c>
      <c r="M1623" s="91">
        <v>45799</v>
      </c>
      <c r="O1623" s="62">
        <f ca="1" t="shared" si="85"/>
        <v>0</v>
      </c>
      <c r="P1623" s="62">
        <f ca="1" t="shared" si="86"/>
        <v>161</v>
      </c>
      <c r="Q1623" s="29" t="str">
        <f>VLOOKUP(B1623,辅助信息!E:M,9,FALSE)</f>
        <v>ZTWM-CDGS-XS-2024-0169-中冶西部钢构-宜宾市南溪区幸福路东路,高县月江镇建设项目</v>
      </c>
    </row>
    <row r="1624" hidden="1" spans="2:17">
      <c r="B1624" s="40" t="s">
        <v>155</v>
      </c>
      <c r="C1624" s="70">
        <v>45798</v>
      </c>
      <c r="D1624" s="120" t="str">
        <f>VLOOKUP(B1624,辅助信息!E:K,7,FALSE)</f>
        <v>JWDDCD2024101600133</v>
      </c>
      <c r="E1624" s="120" t="str">
        <f>VLOOKUP(F1624,辅助信息!A:B,2,FALSE)</f>
        <v>盘螺</v>
      </c>
      <c r="F1624" s="40" t="s">
        <v>26</v>
      </c>
      <c r="G1624" s="36">
        <v>7</v>
      </c>
      <c r="H1624" s="121">
        <f>_xlfn.XLOOKUP(C1624&amp;F1624&amp;I1624&amp;J1624,'[1]2025年已发货'!$F:$F&amp;'[1]2025年已发货'!$C:$C&amp;'[1]2025年已发货'!$G:$G&amp;'[1]2025年已发货'!$H:$H,'[1]2025年已发货'!$E:$E,"未发货")</f>
        <v>7</v>
      </c>
      <c r="I1624" s="120" t="str">
        <f>VLOOKUP(B1624,辅助信息!E:I,3,FALSE)</f>
        <v>(五冶钢构宜宾高县月江镇建设项目-308亩平场项目)宜宾市高县月江镇三转湾(308亩平场项目)</v>
      </c>
      <c r="J1624" s="120" t="str">
        <f>VLOOKUP(B1624,辅助信息!E:I,4,FALSE)</f>
        <v>张朝亮</v>
      </c>
      <c r="K1624" s="120">
        <f>VLOOKUP(J1624,辅助信息!H:I,2,FALSE)</f>
        <v>15228205853</v>
      </c>
      <c r="L1624" s="122" t="str">
        <f>VLOOKUP(B1624,辅助信息!E:J,6,FALSE)</f>
        <v>提前联系到场规格</v>
      </c>
      <c r="M1624" s="91">
        <v>45799</v>
      </c>
      <c r="O1624" s="62">
        <f ca="1" t="shared" si="85"/>
        <v>0</v>
      </c>
      <c r="P1624" s="62">
        <f ca="1" t="shared" si="86"/>
        <v>161</v>
      </c>
      <c r="Q1624" s="29" t="str">
        <f>VLOOKUP(B1624,辅助信息!E:M,9,FALSE)</f>
        <v>ZTWM-CDGS-XS-2024-0169-中冶西部钢构-宜宾市南溪区幸福路东路,高县月江镇建设项目</v>
      </c>
    </row>
    <row r="1625" hidden="1" spans="2:17">
      <c r="B1625" s="40" t="s">
        <v>155</v>
      </c>
      <c r="C1625" s="70">
        <v>45798</v>
      </c>
      <c r="D1625" s="120" t="str">
        <f>VLOOKUP(B1625,辅助信息!E:K,7,FALSE)</f>
        <v>JWDDCD2024101600133</v>
      </c>
      <c r="E1625" s="120" t="str">
        <f>VLOOKUP(F1625,辅助信息!A:B,2,FALSE)</f>
        <v>螺纹钢</v>
      </c>
      <c r="F1625" s="40" t="s">
        <v>18</v>
      </c>
      <c r="G1625" s="36">
        <v>24</v>
      </c>
      <c r="H1625" s="121">
        <f>_xlfn.XLOOKUP(C1625&amp;F1625&amp;I1625&amp;J1625,'[1]2025年已发货'!$F:$F&amp;'[1]2025年已发货'!$C:$C&amp;'[1]2025年已发货'!$G:$G&amp;'[1]2025年已发货'!$H:$H,'[1]2025年已发货'!$E:$E,"未发货")</f>
        <v>24</v>
      </c>
      <c r="I1625" s="120" t="str">
        <f>VLOOKUP(B1625,辅助信息!E:I,3,FALSE)</f>
        <v>(五冶钢构宜宾高县月江镇建设项目-308亩平场项目)宜宾市高县月江镇三转湾(308亩平场项目)</v>
      </c>
      <c r="J1625" s="120" t="str">
        <f>VLOOKUP(B1625,辅助信息!E:I,4,FALSE)</f>
        <v>张朝亮</v>
      </c>
      <c r="K1625" s="120">
        <f>VLOOKUP(J1625,辅助信息!H:I,2,FALSE)</f>
        <v>15228205853</v>
      </c>
      <c r="L1625" s="122" t="str">
        <f>VLOOKUP(B1625,辅助信息!E:J,6,FALSE)</f>
        <v>提前联系到场规格</v>
      </c>
      <c r="M1625" s="91">
        <v>45799</v>
      </c>
      <c r="O1625" s="62">
        <f ca="1" t="shared" si="85"/>
        <v>0</v>
      </c>
      <c r="P1625" s="62">
        <f ca="1" t="shared" si="86"/>
        <v>161</v>
      </c>
      <c r="Q1625" s="29" t="str">
        <f>VLOOKUP(B1625,辅助信息!E:M,9,FALSE)</f>
        <v>ZTWM-CDGS-XS-2024-0169-中冶西部钢构-宜宾市南溪区幸福路东路,高县月江镇建设项目</v>
      </c>
    </row>
    <row r="1626" hidden="1" spans="2:17">
      <c r="B1626" s="120" t="s">
        <v>147</v>
      </c>
      <c r="C1626" s="70">
        <v>45800</v>
      </c>
      <c r="D1626" s="120" t="str">
        <f>VLOOKUP(B1626,辅助信息!E:K,7,FALSE)</f>
        <v>JWDDCD2025052800131</v>
      </c>
      <c r="E1626" s="120" t="str">
        <f>VLOOKUP(F1626,辅助信息!A:B,2,FALSE)</f>
        <v>高线</v>
      </c>
      <c r="F1626" s="120" t="s">
        <v>57</v>
      </c>
      <c r="G1626" s="121">
        <v>13</v>
      </c>
      <c r="H1626" s="121">
        <f>_xlfn.XLOOKUP(C1626&amp;F1626&amp;I1626&amp;J1626,'[1]2025年已发货'!$F:$F&amp;'[1]2025年已发货'!$C:$C&amp;'[1]2025年已发货'!$G:$G&amp;'[1]2025年已发货'!$H:$H,'[1]2025年已发货'!$E:$E,"未发货")</f>
        <v>13</v>
      </c>
      <c r="I1626" s="120" t="str">
        <f>VLOOKUP(B1626,辅助信息!E:I,3,FALSE)</f>
        <v>（商投建工达州中医药科技园-4工区-11号楼）达州市通川区达州中医药职业学院犀牛大道北段</v>
      </c>
      <c r="J1626" s="120" t="str">
        <f>VLOOKUP(B1626,辅助信息!E:I,4,FALSE)</f>
        <v>张扬</v>
      </c>
      <c r="K1626" s="120">
        <f>VLOOKUP(J1626,辅助信息!H:I,2,FALSE)</f>
        <v>18381904567</v>
      </c>
      <c r="L1626" s="122" t="str">
        <f>VLOOKUP(B1626,辅助信息!E:J,6,FALSE)</f>
        <v>控制炉批号！多了现场不收！,优先安排达钢,提前联系到场规格及数量</v>
      </c>
      <c r="M1626" s="91">
        <v>45799</v>
      </c>
      <c r="O1626" s="62">
        <f ca="1" t="shared" si="85"/>
        <v>0</v>
      </c>
      <c r="P1626" s="62">
        <f ca="1" t="shared" si="86"/>
        <v>161</v>
      </c>
      <c r="Q1626" s="29" t="str">
        <f>VLOOKUP(B1626,辅助信息!E:M,9,FALSE)</f>
        <v>ZTWM-CDGS-XS-2024-0134-商投建工达州中医药科技成果示范园项目</v>
      </c>
    </row>
    <row r="1627" hidden="1" spans="2:17">
      <c r="B1627" s="120" t="s">
        <v>147</v>
      </c>
      <c r="C1627" s="70">
        <v>45800</v>
      </c>
      <c r="D1627" s="120" t="str">
        <f>VLOOKUP(B1627,辅助信息!E:K,7,FALSE)</f>
        <v>JWDDCD2025052800131</v>
      </c>
      <c r="E1627" s="120" t="str">
        <f>VLOOKUP(F1627,辅助信息!A:B,2,FALSE)</f>
        <v>盘螺</v>
      </c>
      <c r="F1627" s="120" t="s">
        <v>49</v>
      </c>
      <c r="G1627" s="121">
        <v>6</v>
      </c>
      <c r="H1627" s="121">
        <f>_xlfn.XLOOKUP(C1627&amp;F1627&amp;I1627&amp;J1627,'[1]2025年已发货'!$F:$F&amp;'[1]2025年已发货'!$C:$C&amp;'[1]2025年已发货'!$G:$G&amp;'[1]2025年已发货'!$H:$H,'[1]2025年已发货'!$E:$E,"未发货")</f>
        <v>6</v>
      </c>
      <c r="I1627" s="120" t="str">
        <f>VLOOKUP(B1627,辅助信息!E:I,3,FALSE)</f>
        <v>（商投建工达州中医药科技园-4工区-11号楼）达州市通川区达州中医药职业学院犀牛大道北段</v>
      </c>
      <c r="J1627" s="120" t="str">
        <f>VLOOKUP(B1627,辅助信息!E:I,4,FALSE)</f>
        <v>张扬</v>
      </c>
      <c r="K1627" s="120">
        <f>VLOOKUP(J1627,辅助信息!H:I,2,FALSE)</f>
        <v>18381904567</v>
      </c>
      <c r="L1627" s="122" t="str">
        <f>VLOOKUP(B1627,辅助信息!E:J,6,FALSE)</f>
        <v>控制炉批号！多了现场不收！,优先安排达钢,提前联系到场规格及数量</v>
      </c>
      <c r="M1627" s="91">
        <v>45799</v>
      </c>
      <c r="O1627" s="62">
        <f ca="1" t="shared" si="85"/>
        <v>0</v>
      </c>
      <c r="P1627" s="62">
        <f ca="1" t="shared" si="86"/>
        <v>161</v>
      </c>
      <c r="Q1627" s="29" t="str">
        <f>VLOOKUP(B1627,辅助信息!E:M,9,FALSE)</f>
        <v>ZTWM-CDGS-XS-2024-0134-商投建工达州中医药科技成果示范园项目</v>
      </c>
    </row>
    <row r="1628" hidden="1" spans="2:17">
      <c r="B1628" s="120" t="s">
        <v>147</v>
      </c>
      <c r="C1628" s="70">
        <v>45800</v>
      </c>
      <c r="D1628" s="120" t="str">
        <f>VLOOKUP(B1628,辅助信息!E:K,7,FALSE)</f>
        <v>JWDDCD2025052800131</v>
      </c>
      <c r="E1628" s="120" t="str">
        <f>VLOOKUP(F1628,辅助信息!A:B,2,FALSE)</f>
        <v>螺纹钢</v>
      </c>
      <c r="F1628" s="120" t="s">
        <v>32</v>
      </c>
      <c r="G1628" s="121">
        <v>6</v>
      </c>
      <c r="H1628" s="121">
        <f>_xlfn.XLOOKUP(C1628&amp;F1628&amp;I1628&amp;J1628,'[1]2025年已发货'!$F:$F&amp;'[1]2025年已发货'!$C:$C&amp;'[1]2025年已发货'!$G:$G&amp;'[1]2025年已发货'!$H:$H,'[1]2025年已发货'!$E:$E,"未发货")</f>
        <v>6</v>
      </c>
      <c r="I1628" s="120" t="str">
        <f>VLOOKUP(B1628,辅助信息!E:I,3,FALSE)</f>
        <v>（商投建工达州中医药科技园-4工区-11号楼）达州市通川区达州中医药职业学院犀牛大道北段</v>
      </c>
      <c r="J1628" s="120" t="str">
        <f>VLOOKUP(B1628,辅助信息!E:I,4,FALSE)</f>
        <v>张扬</v>
      </c>
      <c r="K1628" s="120">
        <f>VLOOKUP(J1628,辅助信息!H:I,2,FALSE)</f>
        <v>18381904567</v>
      </c>
      <c r="L1628" s="122" t="str">
        <f>VLOOKUP(B1628,辅助信息!E:J,6,FALSE)</f>
        <v>控制炉批号！多了现场不收！,优先安排达钢,提前联系到场规格及数量</v>
      </c>
      <c r="M1628" s="91">
        <v>45799</v>
      </c>
      <c r="O1628" s="62">
        <f ca="1" t="shared" si="85"/>
        <v>0</v>
      </c>
      <c r="P1628" s="62">
        <f ca="1" t="shared" si="86"/>
        <v>161</v>
      </c>
      <c r="Q1628" s="29" t="str">
        <f>VLOOKUP(B1628,辅助信息!E:M,9,FALSE)</f>
        <v>ZTWM-CDGS-XS-2024-0134-商投建工达州中医药科技成果示范园项目</v>
      </c>
    </row>
    <row r="1629" hidden="1" spans="2:17">
      <c r="B1629" s="120" t="s">
        <v>147</v>
      </c>
      <c r="C1629" s="70">
        <v>45800</v>
      </c>
      <c r="D1629" s="120" t="str">
        <f>VLOOKUP(B1629,辅助信息!E:K,7,FALSE)</f>
        <v>JWDDCD2025052800131</v>
      </c>
      <c r="E1629" s="120" t="str">
        <f>VLOOKUP(F1629,辅助信息!A:B,2,FALSE)</f>
        <v>螺纹钢</v>
      </c>
      <c r="F1629" s="120" t="s">
        <v>18</v>
      </c>
      <c r="G1629" s="121">
        <v>9</v>
      </c>
      <c r="H1629" s="121">
        <f>_xlfn.XLOOKUP(C1629&amp;F1629&amp;I1629&amp;J1629,'[1]2025年已发货'!$F:$F&amp;'[1]2025年已发货'!$C:$C&amp;'[1]2025年已发货'!$G:$G&amp;'[1]2025年已发货'!$H:$H,'[1]2025年已发货'!$E:$E,"未发货")</f>
        <v>9</v>
      </c>
      <c r="I1629" s="120" t="str">
        <f>VLOOKUP(B1629,辅助信息!E:I,3,FALSE)</f>
        <v>（商投建工达州中医药科技园-4工区-11号楼）达州市通川区达州中医药职业学院犀牛大道北段</v>
      </c>
      <c r="J1629" s="120" t="str">
        <f>VLOOKUP(B1629,辅助信息!E:I,4,FALSE)</f>
        <v>张扬</v>
      </c>
      <c r="K1629" s="120">
        <f>VLOOKUP(J1629,辅助信息!H:I,2,FALSE)</f>
        <v>18381904567</v>
      </c>
      <c r="L1629" s="122" t="str">
        <f>VLOOKUP(B1629,辅助信息!E:J,6,FALSE)</f>
        <v>控制炉批号！多了现场不收！,优先安排达钢,提前联系到场规格及数量</v>
      </c>
      <c r="M1629" s="91">
        <v>45799</v>
      </c>
      <c r="O1629" s="62">
        <f ca="1" t="shared" si="85"/>
        <v>0</v>
      </c>
      <c r="P1629" s="62">
        <f ca="1" t="shared" si="86"/>
        <v>161</v>
      </c>
      <c r="Q1629" s="29" t="str">
        <f>VLOOKUP(B1629,辅助信息!E:M,9,FALSE)</f>
        <v>ZTWM-CDGS-XS-2024-0134-商投建工达州中医药科技成果示范园项目</v>
      </c>
    </row>
    <row r="1630" hidden="1" spans="2:18">
      <c r="B1630" s="40" t="s">
        <v>127</v>
      </c>
      <c r="C1630" s="70">
        <v>45800</v>
      </c>
      <c r="D1630" s="120" t="str">
        <f>VLOOKUP(B1630,辅助信息!E:K,7,FALSE)</f>
        <v>JWDDCD2025051000019</v>
      </c>
      <c r="E1630" s="120" t="str">
        <f>VLOOKUP(F1630,辅助信息!A:B,2,FALSE)</f>
        <v>盘螺</v>
      </c>
      <c r="F1630" s="40" t="s">
        <v>49</v>
      </c>
      <c r="G1630" s="36">
        <v>35</v>
      </c>
      <c r="H1630" s="121">
        <f>_xlfn.XLOOKUP(C1630&amp;F1630&amp;I1630&amp;J1630,'[1]2025年已发货'!$F:$F&amp;'[1]2025年已发货'!$C:$C&amp;'[1]2025年已发货'!$G:$G&amp;'[1]2025年已发货'!$H:$H,'[1]2025年已发货'!$E:$E,"未发货")</f>
        <v>35</v>
      </c>
      <c r="I1630" s="120" t="str">
        <f>VLOOKUP(B1630,辅助信息!E:I,3,FALSE)</f>
        <v>(五冶钢构医学科学产业园建设项目房建三部-管网总坪)四川省南充市顺庆区搬罾街道学府大道二段</v>
      </c>
      <c r="J1630" s="120" t="str">
        <f>VLOOKUP(B1630,辅助信息!E:I,4,FALSE)</f>
        <v>郑林</v>
      </c>
      <c r="K1630" s="120">
        <f>VLOOKUP(J1630,辅助信息!H:I,2,FALSE)</f>
        <v>18349955455</v>
      </c>
      <c r="L1630" s="122" t="str">
        <f>VLOOKUP(B1630,辅助信息!E:J,6,FALSE)</f>
        <v>送货单：送货单位：南充思临新材料科技有限公司,收货单位：五冶集团川北(南充)建设有限公司,项目名称：南充医学科学产业园,送货车型13米,装货前联系收货人核实到场规格</v>
      </c>
      <c r="M1630" s="91">
        <v>45803</v>
      </c>
      <c r="O1630" s="62">
        <f ca="1" t="shared" si="85"/>
        <v>0</v>
      </c>
      <c r="P1630" s="62">
        <f ca="1" t="shared" si="86"/>
        <v>157</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0">
        <v>45800</v>
      </c>
      <c r="D1631" s="120" t="e">
        <f>VLOOKUP(B1631,辅助信息!E:K,7,FALSE)</f>
        <v>#N/A</v>
      </c>
      <c r="E1631" s="120" t="str">
        <f>VLOOKUP(F1631,辅助信息!A:B,2,FALSE)</f>
        <v>螺纹钢</v>
      </c>
      <c r="F1631" s="40" t="s">
        <v>27</v>
      </c>
      <c r="G1631" s="36">
        <v>25</v>
      </c>
      <c r="H1631" s="121" t="e">
        <f>_xlfn.XLOOKUP(C1631&amp;F1631&amp;I1631&amp;J1631,'[1]2025年已发货'!$F:$F&amp;'[1]2025年已发货'!$C:$C&amp;'[1]2025年已发货'!$G:$G&amp;'[1]2025年已发货'!$H:$H,'[1]2025年已发货'!$E:$E,"未发货")</f>
        <v>#N/A</v>
      </c>
      <c r="I1631" s="120" t="e">
        <f>VLOOKUP(B1631,辅助信息!E:I,3,FALSE)</f>
        <v>#N/A</v>
      </c>
      <c r="J1631" s="120" t="e">
        <f>VLOOKUP(B1631,辅助信息!E:I,4,FALSE)</f>
        <v>#N/A</v>
      </c>
      <c r="K1631" s="120" t="e">
        <f>VLOOKUP(J1631,辅助信息!H:I,2,FALSE)</f>
        <v>#N/A</v>
      </c>
      <c r="L1631" s="122" t="e">
        <f>VLOOKUP(B1631,辅助信息!E:J,6,FALSE)</f>
        <v>#N/A</v>
      </c>
      <c r="M1631" s="91">
        <v>45803</v>
      </c>
      <c r="O1631" s="62">
        <f ca="1" t="shared" si="85"/>
        <v>0</v>
      </c>
      <c r="P1631" s="62">
        <f ca="1" t="shared" si="86"/>
        <v>157</v>
      </c>
      <c r="Q1631" s="29" t="e">
        <f>VLOOKUP(B1631,辅助信息!E:M,9,FALSE)</f>
        <v>#N/A</v>
      </c>
      <c r="R1631" s="29" vm="1" t="e">
        <f>_xlfn._xlws.FILTER(辅助信息!D:D,辅助信息!E:E=B1631)</f>
        <v>#VALUE!</v>
      </c>
    </row>
    <row r="1632" hidden="1" spans="2:18">
      <c r="B1632" s="40" t="s">
        <v>156</v>
      </c>
      <c r="C1632" s="70">
        <v>45800</v>
      </c>
      <c r="D1632" s="120" t="e">
        <f>VLOOKUP(B1632,辅助信息!E:K,7,FALSE)</f>
        <v>#N/A</v>
      </c>
      <c r="E1632" s="120" t="str">
        <f>VLOOKUP(F1632,辅助信息!A:B,2,FALSE)</f>
        <v>螺纹钢</v>
      </c>
      <c r="F1632" s="40" t="s">
        <v>32</v>
      </c>
      <c r="G1632" s="36">
        <v>42</v>
      </c>
      <c r="H1632" s="121" t="e">
        <f>_xlfn.XLOOKUP(C1632&amp;F1632&amp;I1632&amp;J1632,'[1]2025年已发货'!$F:$F&amp;'[1]2025年已发货'!$C:$C&amp;'[1]2025年已发货'!$G:$G&amp;'[1]2025年已发货'!$H:$H,'[1]2025年已发货'!$E:$E,"未发货")</f>
        <v>#N/A</v>
      </c>
      <c r="I1632" s="120" t="e">
        <f>VLOOKUP(B1632,辅助信息!E:I,3,FALSE)</f>
        <v>#N/A</v>
      </c>
      <c r="J1632" s="120" t="e">
        <f>VLOOKUP(B1632,辅助信息!E:I,4,FALSE)</f>
        <v>#N/A</v>
      </c>
      <c r="K1632" s="120" t="e">
        <f>VLOOKUP(J1632,辅助信息!H:I,2,FALSE)</f>
        <v>#N/A</v>
      </c>
      <c r="L1632" s="122" t="e">
        <f>VLOOKUP(B1632,辅助信息!E:J,6,FALSE)</f>
        <v>#N/A</v>
      </c>
      <c r="M1632" s="91">
        <v>45803</v>
      </c>
      <c r="O1632" s="62">
        <f ca="1" t="shared" si="85"/>
        <v>0</v>
      </c>
      <c r="P1632" s="62">
        <f ca="1" t="shared" si="86"/>
        <v>157</v>
      </c>
      <c r="Q1632" s="29" t="e">
        <f>VLOOKUP(B1632,辅助信息!E:M,9,FALSE)</f>
        <v>#N/A</v>
      </c>
      <c r="R1632" s="29" vm="1" t="e">
        <f>_xlfn._xlws.FILTER(辅助信息!D:D,辅助信息!E:E=B1632)</f>
        <v>#VALUE!</v>
      </c>
    </row>
    <row r="1633" hidden="1" spans="2:18">
      <c r="B1633" s="40" t="s">
        <v>156</v>
      </c>
      <c r="C1633" s="70">
        <v>45800</v>
      </c>
      <c r="D1633" s="120" t="e">
        <f>VLOOKUP(B1633,辅助信息!E:K,7,FALSE)</f>
        <v>#N/A</v>
      </c>
      <c r="E1633" s="120" t="str">
        <f>VLOOKUP(F1633,辅助信息!A:B,2,FALSE)</f>
        <v>螺纹钢</v>
      </c>
      <c r="F1633" s="40" t="s">
        <v>33</v>
      </c>
      <c r="G1633" s="36">
        <v>80</v>
      </c>
      <c r="H1633" s="121" t="e">
        <f>_xlfn.XLOOKUP(C1633&amp;F1633&amp;I1633&amp;J1633,'[1]2025年已发货'!$F:$F&amp;'[1]2025年已发货'!$C:$C&amp;'[1]2025年已发货'!$G:$G&amp;'[1]2025年已发货'!$H:$H,'[1]2025年已发货'!$E:$E,"未发货")</f>
        <v>#N/A</v>
      </c>
      <c r="I1633" s="120" t="e">
        <f>VLOOKUP(B1633,辅助信息!E:I,3,FALSE)</f>
        <v>#N/A</v>
      </c>
      <c r="J1633" s="120" t="e">
        <f>VLOOKUP(B1633,辅助信息!E:I,4,FALSE)</f>
        <v>#N/A</v>
      </c>
      <c r="K1633" s="120" t="e">
        <f>VLOOKUP(J1633,辅助信息!H:I,2,FALSE)</f>
        <v>#N/A</v>
      </c>
      <c r="L1633" s="122" t="e">
        <f>VLOOKUP(B1633,辅助信息!E:J,6,FALSE)</f>
        <v>#N/A</v>
      </c>
      <c r="M1633" s="91">
        <v>45803</v>
      </c>
      <c r="O1633" s="62">
        <f ca="1" t="shared" si="85"/>
        <v>0</v>
      </c>
      <c r="P1633" s="62">
        <f ca="1" t="shared" si="86"/>
        <v>157</v>
      </c>
      <c r="Q1633" s="29" t="e">
        <f>VLOOKUP(B1633,辅助信息!E:M,9,FALSE)</f>
        <v>#N/A</v>
      </c>
      <c r="R1633" s="29" vm="1" t="e">
        <f>_xlfn._xlws.FILTER(辅助信息!D:D,辅助信息!E:E=B1633)</f>
        <v>#VALUE!</v>
      </c>
    </row>
    <row r="1634" hidden="1" spans="2:18">
      <c r="B1634" s="40" t="s">
        <v>156</v>
      </c>
      <c r="C1634" s="70">
        <v>45800</v>
      </c>
      <c r="D1634" s="120" t="e">
        <f>VLOOKUP(B1634,辅助信息!E:K,7,FALSE)</f>
        <v>#N/A</v>
      </c>
      <c r="E1634" s="120" t="str">
        <f>VLOOKUP(F1634,辅助信息!A:B,2,FALSE)</f>
        <v>螺纹钢</v>
      </c>
      <c r="F1634" s="40" t="s">
        <v>28</v>
      </c>
      <c r="G1634" s="36">
        <v>34</v>
      </c>
      <c r="H1634" s="121" t="e">
        <f>_xlfn.XLOOKUP(C1634&amp;F1634&amp;I1634&amp;J1634,'[1]2025年已发货'!$F:$F&amp;'[1]2025年已发货'!$C:$C&amp;'[1]2025年已发货'!$G:$G&amp;'[1]2025年已发货'!$H:$H,'[1]2025年已发货'!$E:$E,"未发货")</f>
        <v>#N/A</v>
      </c>
      <c r="I1634" s="120" t="e">
        <f>VLOOKUP(B1634,辅助信息!E:I,3,FALSE)</f>
        <v>#N/A</v>
      </c>
      <c r="J1634" s="120" t="e">
        <f>VLOOKUP(B1634,辅助信息!E:I,4,FALSE)</f>
        <v>#N/A</v>
      </c>
      <c r="K1634" s="120" t="e">
        <f>VLOOKUP(J1634,辅助信息!H:I,2,FALSE)</f>
        <v>#N/A</v>
      </c>
      <c r="L1634" s="122" t="e">
        <f>VLOOKUP(B1634,辅助信息!E:J,6,FALSE)</f>
        <v>#N/A</v>
      </c>
      <c r="M1634" s="91">
        <v>45803</v>
      </c>
      <c r="O1634" s="62">
        <f ca="1" t="shared" si="85"/>
        <v>0</v>
      </c>
      <c r="P1634" s="62">
        <f ca="1" t="shared" si="86"/>
        <v>157</v>
      </c>
      <c r="Q1634" s="29" t="e">
        <f>VLOOKUP(B1634,辅助信息!E:M,9,FALSE)</f>
        <v>#N/A</v>
      </c>
      <c r="R1634" s="29" vm="1" t="e">
        <f>_xlfn._xlws.FILTER(辅助信息!D:D,辅助信息!E:E=B1634)</f>
        <v>#VALUE!</v>
      </c>
    </row>
    <row r="1635" hidden="1" spans="2:18">
      <c r="B1635" s="40" t="s">
        <v>156</v>
      </c>
      <c r="C1635" s="70">
        <v>45800</v>
      </c>
      <c r="D1635" s="120" t="e">
        <f>VLOOKUP(B1635,辅助信息!E:K,7,FALSE)</f>
        <v>#N/A</v>
      </c>
      <c r="E1635" s="120" t="str">
        <f>VLOOKUP(F1635,辅助信息!A:B,2,FALSE)</f>
        <v>螺纹钢</v>
      </c>
      <c r="F1635" s="40" t="s">
        <v>65</v>
      </c>
      <c r="G1635" s="36">
        <v>445</v>
      </c>
      <c r="H1635" s="121" t="e">
        <f>_xlfn.XLOOKUP(C1635&amp;F1635&amp;I1635&amp;J1635,'[1]2025年已发货'!$F:$F&amp;'[1]2025年已发货'!$C:$C&amp;'[1]2025年已发货'!$G:$G&amp;'[1]2025年已发货'!$H:$H,'[1]2025年已发货'!$E:$E,"未发货")</f>
        <v>#N/A</v>
      </c>
      <c r="I1635" s="120" t="e">
        <f>VLOOKUP(B1635,辅助信息!E:I,3,FALSE)</f>
        <v>#N/A</v>
      </c>
      <c r="J1635" s="120" t="e">
        <f>VLOOKUP(B1635,辅助信息!E:I,4,FALSE)</f>
        <v>#N/A</v>
      </c>
      <c r="K1635" s="120" t="e">
        <f>VLOOKUP(J1635,辅助信息!H:I,2,FALSE)</f>
        <v>#N/A</v>
      </c>
      <c r="L1635" s="122" t="e">
        <f>VLOOKUP(B1635,辅助信息!E:J,6,FALSE)</f>
        <v>#N/A</v>
      </c>
      <c r="M1635" s="91">
        <v>45803</v>
      </c>
      <c r="O1635" s="62">
        <f ca="1" t="shared" si="85"/>
        <v>0</v>
      </c>
      <c r="P1635" s="62">
        <f ca="1" t="shared" si="86"/>
        <v>157</v>
      </c>
      <c r="Q1635" s="29" t="e">
        <f>VLOOKUP(B1635,辅助信息!E:M,9,FALSE)</f>
        <v>#N/A</v>
      </c>
      <c r="R1635" s="29" vm="1" t="e">
        <f>_xlfn._xlws.FILTER(辅助信息!D:D,辅助信息!E:E=B1635)</f>
        <v>#VALUE!</v>
      </c>
    </row>
    <row r="1636" hidden="1" spans="2:18">
      <c r="B1636" s="40" t="s">
        <v>56</v>
      </c>
      <c r="C1636" s="70">
        <v>45803</v>
      </c>
      <c r="D1636" s="120" t="str">
        <f>VLOOKUP(B1636,辅助信息!E:K,7,FALSE)</f>
        <v>JWDDCD2025052800131</v>
      </c>
      <c r="E1636" s="120" t="str">
        <f>VLOOKUP(F1636,辅助信息!A:B,2,FALSE)</f>
        <v>盘螺</v>
      </c>
      <c r="F1636" s="40" t="s">
        <v>49</v>
      </c>
      <c r="G1636" s="36">
        <v>12</v>
      </c>
      <c r="H1636" s="121" t="str">
        <f>_xlfn.XLOOKUP(C1636&amp;F1636&amp;I1636&amp;J1636,'[1]2025年已发货'!$F:$F&amp;'[1]2025年已发货'!$C:$C&amp;'[1]2025年已发货'!$G:$G&amp;'[1]2025年已发货'!$H:$H,'[1]2025年已发货'!$E:$E,"未发货")</f>
        <v>未发货</v>
      </c>
      <c r="I1636" s="120" t="str">
        <f>VLOOKUP(B1636,辅助信息!E:I,3,FALSE)</f>
        <v>（商投建工达州中医药科技园-4工区-7号楼）达州市通川区达州中医药职业学院犀牛大道北段</v>
      </c>
      <c r="J1636" s="120" t="str">
        <f>VLOOKUP(B1636,辅助信息!E:I,4,FALSE)</f>
        <v>张扬</v>
      </c>
      <c r="K1636" s="120">
        <f>VLOOKUP(J1636,辅助信息!H:I,2,FALSE)</f>
        <v>18381904567</v>
      </c>
      <c r="L1636" s="122" t="str">
        <f>VLOOKUP(B1636,辅助信息!E:J,6,FALSE)</f>
        <v>控制炉批号！多了现场不收！,优先安排达钢,提前联系到场规格及数量</v>
      </c>
      <c r="M1636" s="91">
        <v>45805</v>
      </c>
      <c r="O1636" s="62">
        <f ca="1" t="shared" ref="O1636:O1654" si="87">IF(OR(M1636="",N1636&lt;&gt;""),"",MAX(M1636-TODAY(),0))</f>
        <v>0</v>
      </c>
      <c r="P1636" s="62">
        <f ca="1" t="shared" ref="P1636:P1654" si="88">IF(M1636="","",IF(N1636&lt;&gt;"",MAX(N1636-M1636,0),IF(TODAY()&gt;M1636,TODAY()-M1636,0)))</f>
        <v>155</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0">
        <v>45803</v>
      </c>
      <c r="D1637" s="120" t="str">
        <f>VLOOKUP(B1637,辅助信息!E:K,7,FALSE)</f>
        <v>JWDDCD2025052800131</v>
      </c>
      <c r="E1637" s="120" t="str">
        <f>VLOOKUP(F1637,辅助信息!A:B,2,FALSE)</f>
        <v>盘螺</v>
      </c>
      <c r="F1637" s="40" t="s">
        <v>40</v>
      </c>
      <c r="G1637" s="36">
        <v>24</v>
      </c>
      <c r="H1637" s="121" t="str">
        <f>_xlfn.XLOOKUP(C1637&amp;F1637&amp;I1637&amp;J1637,'[1]2025年已发货'!$F:$F&amp;'[1]2025年已发货'!$C:$C&amp;'[1]2025年已发货'!$G:$G&amp;'[1]2025年已发货'!$H:$H,'[1]2025年已发货'!$E:$E,"未发货")</f>
        <v>未发货</v>
      </c>
      <c r="I1637" s="120" t="str">
        <f>VLOOKUP(B1637,辅助信息!E:I,3,FALSE)</f>
        <v>（商投建工达州中医药科技园-4工区-7号楼）达州市通川区达州中医药职业学院犀牛大道北段</v>
      </c>
      <c r="J1637" s="120" t="str">
        <f>VLOOKUP(B1637,辅助信息!E:I,4,FALSE)</f>
        <v>张扬</v>
      </c>
      <c r="K1637" s="120">
        <f>VLOOKUP(J1637,辅助信息!H:I,2,FALSE)</f>
        <v>18381904567</v>
      </c>
      <c r="L1637" s="122" t="str">
        <f>VLOOKUP(B1637,辅助信息!E:J,6,FALSE)</f>
        <v>控制炉批号！多了现场不收！,优先安排达钢,提前联系到场规格及数量</v>
      </c>
      <c r="M1637" s="91">
        <v>45805</v>
      </c>
      <c r="O1637" s="62">
        <f ca="1" t="shared" si="87"/>
        <v>0</v>
      </c>
      <c r="P1637" s="62">
        <f ca="1" t="shared" si="88"/>
        <v>155</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0">
        <v>45803</v>
      </c>
      <c r="D1638" s="120" t="str">
        <f>VLOOKUP(B1638,辅助信息!E:K,7,FALSE)</f>
        <v>JWDDCD2024101600133</v>
      </c>
      <c r="E1638" s="120" t="str">
        <f>VLOOKUP(F1638,辅助信息!A:B,2,FALSE)</f>
        <v>螺纹钢</v>
      </c>
      <c r="F1638" s="40" t="s">
        <v>27</v>
      </c>
      <c r="G1638" s="36">
        <v>9</v>
      </c>
      <c r="H1638" s="121">
        <f>_xlfn.XLOOKUP(C1638&amp;F1638&amp;I1638&amp;J1638,'[1]2025年已发货'!$F:$F&amp;'[1]2025年已发货'!$C:$C&amp;'[1]2025年已发货'!$G:$G&amp;'[1]2025年已发货'!$H:$H,'[1]2025年已发货'!$E:$E,"未发货")</f>
        <v>9</v>
      </c>
      <c r="I1638" s="120" t="str">
        <f>VLOOKUP(B1638,辅助信息!E:I,3,FALSE)</f>
        <v>（五冶钢构宜宾高县月江镇建设项目）  四川省宜宾市高县月江镇刚记超市斜对面(还阳组团沪碳二期项目)</v>
      </c>
      <c r="J1638" s="120" t="str">
        <f>VLOOKUP(B1638,辅助信息!E:I,4,FALSE)</f>
        <v>张朝亮</v>
      </c>
      <c r="K1638" s="120">
        <f>VLOOKUP(J1638,辅助信息!H:I,2,FALSE)</f>
        <v>15228205853</v>
      </c>
      <c r="L1638" s="122" t="str">
        <f>VLOOKUP(B1638,辅助信息!E:J,6,FALSE)</f>
        <v>提前联系到场规格</v>
      </c>
      <c r="M1638" s="91">
        <v>45804</v>
      </c>
      <c r="O1638" s="62">
        <f ca="1" t="shared" si="87"/>
        <v>0</v>
      </c>
      <c r="P1638" s="62">
        <f ca="1" t="shared" si="88"/>
        <v>156</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0">
        <v>45803</v>
      </c>
      <c r="D1639" s="120" t="str">
        <f>VLOOKUP(B1639,辅助信息!E:K,7,FALSE)</f>
        <v>JWDDCD2024101600133</v>
      </c>
      <c r="E1639" s="120" t="str">
        <f>VLOOKUP(F1639,辅助信息!A:B,2,FALSE)</f>
        <v>螺纹钢</v>
      </c>
      <c r="F1639" s="40" t="s">
        <v>19</v>
      </c>
      <c r="G1639" s="36">
        <v>9</v>
      </c>
      <c r="H1639" s="121">
        <f>_xlfn.XLOOKUP(C1639&amp;F1639&amp;I1639&amp;J1639,'[1]2025年已发货'!$F:$F&amp;'[1]2025年已发货'!$C:$C&amp;'[1]2025年已发货'!$G:$G&amp;'[1]2025年已发货'!$H:$H,'[1]2025年已发货'!$E:$E,"未发货")</f>
        <v>9</v>
      </c>
      <c r="I1639" s="120" t="str">
        <f>VLOOKUP(B1639,辅助信息!E:I,3,FALSE)</f>
        <v>（五冶钢构宜宾高县月江镇建设项目）  四川省宜宾市高县月江镇刚记超市斜对面(还阳组团沪碳二期项目)</v>
      </c>
      <c r="J1639" s="120" t="str">
        <f>VLOOKUP(B1639,辅助信息!E:I,4,FALSE)</f>
        <v>张朝亮</v>
      </c>
      <c r="K1639" s="120">
        <f>VLOOKUP(J1639,辅助信息!H:I,2,FALSE)</f>
        <v>15228205853</v>
      </c>
      <c r="L1639" s="122" t="str">
        <f>VLOOKUP(B1639,辅助信息!E:J,6,FALSE)</f>
        <v>提前联系到场规格</v>
      </c>
      <c r="M1639" s="91">
        <v>45804</v>
      </c>
      <c r="O1639" s="62">
        <f ca="1" t="shared" si="87"/>
        <v>0</v>
      </c>
      <c r="P1639" s="62">
        <f ca="1" t="shared" si="88"/>
        <v>156</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0">
        <v>45803</v>
      </c>
      <c r="D1640" s="120" t="str">
        <f>VLOOKUP(B1640,辅助信息!E:K,7,FALSE)</f>
        <v>JWDDCD2024101600133</v>
      </c>
      <c r="E1640" s="120" t="str">
        <f>VLOOKUP(F1640,辅助信息!A:B,2,FALSE)</f>
        <v>螺纹钢</v>
      </c>
      <c r="F1640" s="40" t="s">
        <v>32</v>
      </c>
      <c r="G1640" s="36">
        <v>12</v>
      </c>
      <c r="H1640" s="121">
        <f>_xlfn.XLOOKUP(C1640&amp;F1640&amp;I1640&amp;J1640,'[1]2025年已发货'!$F:$F&amp;'[1]2025年已发货'!$C:$C&amp;'[1]2025年已发货'!$G:$G&amp;'[1]2025年已发货'!$H:$H,'[1]2025年已发货'!$E:$E,"未发货")</f>
        <v>12</v>
      </c>
      <c r="I1640" s="120" t="str">
        <f>VLOOKUP(B1640,辅助信息!E:I,3,FALSE)</f>
        <v>（五冶钢构宜宾高县月江镇建设项目）  四川省宜宾市高县月江镇刚记超市斜对面(还阳组团沪碳二期项目)</v>
      </c>
      <c r="J1640" s="120" t="str">
        <f>VLOOKUP(B1640,辅助信息!E:I,4,FALSE)</f>
        <v>张朝亮</v>
      </c>
      <c r="K1640" s="120">
        <f>VLOOKUP(J1640,辅助信息!H:I,2,FALSE)</f>
        <v>15228205853</v>
      </c>
      <c r="L1640" s="122" t="str">
        <f>VLOOKUP(B1640,辅助信息!E:J,6,FALSE)</f>
        <v>提前联系到场规格</v>
      </c>
      <c r="M1640" s="91">
        <v>45804</v>
      </c>
      <c r="O1640" s="62">
        <f ca="1" t="shared" si="87"/>
        <v>0</v>
      </c>
      <c r="P1640" s="62">
        <f ca="1" t="shared" si="88"/>
        <v>156</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0">
        <v>45803</v>
      </c>
      <c r="D1641" s="120" t="str">
        <f>VLOOKUP(B1641,辅助信息!E:K,7,FALSE)</f>
        <v>JWDDCD2024101600133</v>
      </c>
      <c r="E1641" s="120" t="str">
        <f>VLOOKUP(F1641,辅助信息!A:B,2,FALSE)</f>
        <v>螺纹钢</v>
      </c>
      <c r="F1641" s="40" t="s">
        <v>30</v>
      </c>
      <c r="G1641" s="36">
        <v>24</v>
      </c>
      <c r="H1641" s="121">
        <f>_xlfn.XLOOKUP(C1641&amp;F1641&amp;I1641&amp;J1641,'[1]2025年已发货'!$F:$F&amp;'[1]2025年已发货'!$C:$C&amp;'[1]2025年已发货'!$G:$G&amp;'[1]2025年已发货'!$H:$H,'[1]2025年已发货'!$E:$E,"未发货")</f>
        <v>24</v>
      </c>
      <c r="I1641" s="120" t="str">
        <f>VLOOKUP(B1641,辅助信息!E:I,3,FALSE)</f>
        <v>（五冶钢构宜宾高县月江镇建设项目）  四川省宜宾市高县月江镇刚记超市斜对面(还阳组团沪碳二期项目)</v>
      </c>
      <c r="J1641" s="120" t="str">
        <f>VLOOKUP(B1641,辅助信息!E:I,4,FALSE)</f>
        <v>张朝亮</v>
      </c>
      <c r="K1641" s="120">
        <f>VLOOKUP(J1641,辅助信息!H:I,2,FALSE)</f>
        <v>15228205853</v>
      </c>
      <c r="L1641" s="122" t="str">
        <f>VLOOKUP(B1641,辅助信息!E:J,6,FALSE)</f>
        <v>提前联系到场规格</v>
      </c>
      <c r="M1641" s="91">
        <v>45804</v>
      </c>
      <c r="O1641" s="62">
        <f ca="1" t="shared" si="87"/>
        <v>0</v>
      </c>
      <c r="P1641" s="62">
        <f ca="1" t="shared" si="88"/>
        <v>156</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0">
        <v>45803</v>
      </c>
      <c r="D1642" s="120" t="str">
        <f>VLOOKUP(B1642,辅助信息!E:K,7,FALSE)</f>
        <v>JWDDCD2024101600133</v>
      </c>
      <c r="E1642" s="120" t="str">
        <f>VLOOKUP(F1642,辅助信息!A:B,2,FALSE)</f>
        <v>螺纹钢</v>
      </c>
      <c r="F1642" s="40" t="s">
        <v>28</v>
      </c>
      <c r="G1642" s="36">
        <v>12</v>
      </c>
      <c r="H1642" s="121">
        <f>_xlfn.XLOOKUP(C1642&amp;F1642&amp;I1642&amp;J1642,'[1]2025年已发货'!$F:$F&amp;'[1]2025年已发货'!$C:$C&amp;'[1]2025年已发货'!$G:$G&amp;'[1]2025年已发货'!$H:$H,'[1]2025年已发货'!$E:$E,"未发货")</f>
        <v>12</v>
      </c>
      <c r="I1642" s="120" t="str">
        <f>VLOOKUP(B1642,辅助信息!E:I,3,FALSE)</f>
        <v>（五冶钢构宜宾高县月江镇建设项目）  四川省宜宾市高县月江镇刚记超市斜对面(还阳组团沪碳二期项目)</v>
      </c>
      <c r="J1642" s="120" t="str">
        <f>VLOOKUP(B1642,辅助信息!E:I,4,FALSE)</f>
        <v>张朝亮</v>
      </c>
      <c r="K1642" s="120">
        <f>VLOOKUP(J1642,辅助信息!H:I,2,FALSE)</f>
        <v>15228205853</v>
      </c>
      <c r="L1642" s="122" t="str">
        <f>VLOOKUP(B1642,辅助信息!E:J,6,FALSE)</f>
        <v>提前联系到场规格</v>
      </c>
      <c r="M1642" s="91">
        <v>45804</v>
      </c>
      <c r="O1642" s="62">
        <f ca="1" t="shared" si="87"/>
        <v>0</v>
      </c>
      <c r="P1642" s="62">
        <f ca="1" t="shared" si="88"/>
        <v>156</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0">
        <v>45803</v>
      </c>
      <c r="D1643" s="120" t="str">
        <f>VLOOKUP(B1643,辅助信息!E:K,7,FALSE)</f>
        <v>JWDDCD2024101600133</v>
      </c>
      <c r="E1643" s="120" t="str">
        <f>VLOOKUP(F1643,辅助信息!A:B,2,FALSE)</f>
        <v>螺纹钢</v>
      </c>
      <c r="F1643" s="40" t="s">
        <v>18</v>
      </c>
      <c r="G1643" s="36">
        <v>6</v>
      </c>
      <c r="H1643" s="121">
        <f>_xlfn.XLOOKUP(C1643&amp;F1643&amp;I1643&amp;J1643,'[1]2025年已发货'!$F:$F&amp;'[1]2025年已发货'!$C:$C&amp;'[1]2025年已发货'!$G:$G&amp;'[1]2025年已发货'!$H:$H,'[1]2025年已发货'!$E:$E,"未发货")</f>
        <v>6</v>
      </c>
      <c r="I1643" s="120" t="str">
        <f>VLOOKUP(B1643,辅助信息!E:I,3,FALSE)</f>
        <v>（五冶钢构宜宾高县月江镇建设项目）  四川省宜宾市高县月江镇刚记超市斜对面(还阳组团沪碳二期项目)</v>
      </c>
      <c r="J1643" s="120" t="str">
        <f>VLOOKUP(B1643,辅助信息!E:I,4,FALSE)</f>
        <v>张朝亮</v>
      </c>
      <c r="K1643" s="120">
        <f>VLOOKUP(J1643,辅助信息!H:I,2,FALSE)</f>
        <v>15228205853</v>
      </c>
      <c r="L1643" s="122" t="str">
        <f>VLOOKUP(B1643,辅助信息!E:J,6,FALSE)</f>
        <v>提前联系到场规格</v>
      </c>
      <c r="M1643" s="91">
        <v>45804</v>
      </c>
      <c r="O1643" s="62">
        <f ca="1" t="shared" si="87"/>
        <v>0</v>
      </c>
      <c r="P1643" s="62">
        <f ca="1" t="shared" si="88"/>
        <v>156</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2" t="s">
        <v>157</v>
      </c>
      <c r="B1644" s="123" t="s">
        <v>158</v>
      </c>
      <c r="C1644" s="70">
        <v>45803</v>
      </c>
      <c r="D1644" s="120" t="str">
        <f>VLOOKUP(B1644,辅助信息!E:K,7,FALSE)</f>
        <v>JWDDCD2025051800044</v>
      </c>
      <c r="E1644" s="120" t="str">
        <f>VLOOKUP(F1644,辅助信息!A:B,2,FALSE)</f>
        <v>高线</v>
      </c>
      <c r="F1644" s="40" t="s">
        <v>53</v>
      </c>
      <c r="G1644" s="36">
        <v>17</v>
      </c>
      <c r="H1644" s="121" t="str">
        <f>_xlfn.XLOOKUP(C1644&amp;F1644&amp;I1644&amp;J1644,'[1]2025年已发货'!$F:$F&amp;'[1]2025年已发货'!$C:$C&amp;'[1]2025年已发货'!$G:$G&amp;'[1]2025年已发货'!$H:$H,'[1]2025年已发货'!$E:$E,"未发货")</f>
        <v>未发货</v>
      </c>
      <c r="I1644" s="120" t="str">
        <f>VLOOKUP(B1644,辅助信息!E:I,3,FALSE)</f>
        <v>(五冶建设龙泉芙蓉花语项目-2地块)龙泉驿区北川路双堰塘钓鱼东100米(北川路)</v>
      </c>
      <c r="J1644" s="120" t="str">
        <f>VLOOKUP(B1644,辅助信息!E:I,4,FALSE)</f>
        <v>白燕军</v>
      </c>
      <c r="K1644" s="120">
        <f>VLOOKUP(J1644,辅助信息!H:I,2,FALSE)</f>
        <v>15982002377</v>
      </c>
      <c r="L1644" s="122" t="str">
        <f>VLOOKUP(B1644,辅助信息!E:J,6,FALSE)</f>
        <v>联系实际收货人（白燕军15982002377）五冶建设送货单,4份材质书,锈货不收，项目名称：中冶成勘-成都安置房项目，装货前联系收货人核实到场规格,没提前告知进场规格现场不给予接收</v>
      </c>
      <c r="M1644" s="91">
        <v>45803</v>
      </c>
      <c r="O1644" s="62">
        <f ca="1" t="shared" si="87"/>
        <v>0</v>
      </c>
      <c r="P1644" s="62">
        <f ca="1" t="shared" si="88"/>
        <v>157</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2"/>
      <c r="B1645" s="123" t="s">
        <v>158</v>
      </c>
      <c r="C1645" s="70">
        <v>45803</v>
      </c>
      <c r="D1645" s="120" t="str">
        <f>VLOOKUP(B1645,辅助信息!E:K,7,FALSE)</f>
        <v>JWDDCD2025051800044</v>
      </c>
      <c r="E1645" s="120" t="str">
        <f>VLOOKUP(F1645,辅助信息!A:B,2,FALSE)</f>
        <v>螺纹钢</v>
      </c>
      <c r="F1645" s="40" t="s">
        <v>32</v>
      </c>
      <c r="G1645" s="36">
        <v>10</v>
      </c>
      <c r="H1645" s="121" t="str">
        <f>_xlfn.XLOOKUP(C1645&amp;F1645&amp;I1645&amp;J1645,'[1]2025年已发货'!$F:$F&amp;'[1]2025年已发货'!$C:$C&amp;'[1]2025年已发货'!$G:$G&amp;'[1]2025年已发货'!$H:$H,'[1]2025年已发货'!$E:$E,"未发货")</f>
        <v>未发货</v>
      </c>
      <c r="I1645" s="120" t="str">
        <f>VLOOKUP(B1645,辅助信息!E:I,3,FALSE)</f>
        <v>(五冶建设龙泉芙蓉花语项目-2地块)龙泉驿区北川路双堰塘钓鱼东100米(北川路)</v>
      </c>
      <c r="J1645" s="120" t="str">
        <f>VLOOKUP(B1645,辅助信息!E:I,4,FALSE)</f>
        <v>白燕军</v>
      </c>
      <c r="K1645" s="120">
        <f>VLOOKUP(J1645,辅助信息!H:I,2,FALSE)</f>
        <v>15982002377</v>
      </c>
      <c r="L1645" s="122" t="str">
        <f>VLOOKUP(B1645,辅助信息!E:J,6,FALSE)</f>
        <v>联系实际收货人（白燕军15982002377）五冶建设送货单,4份材质书,锈货不收，项目名称：中冶成勘-成都安置房项目，装货前联系收货人核实到场规格,没提前告知进场规格现场不给予接收</v>
      </c>
      <c r="M1645" s="91">
        <v>45803</v>
      </c>
      <c r="O1645" s="62">
        <f ca="1" t="shared" si="87"/>
        <v>0</v>
      </c>
      <c r="P1645" s="62">
        <f ca="1" t="shared" si="88"/>
        <v>157</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0">
        <v>45803</v>
      </c>
      <c r="D1646" s="120" t="str">
        <f>VLOOKUP(B1646,辅助信息!E:K,7,FALSE)</f>
        <v>JWDDCD2024121000136</v>
      </c>
      <c r="E1646" s="120" t="str">
        <f>VLOOKUP(F1646,辅助信息!A:B,2,FALSE)</f>
        <v>高线</v>
      </c>
      <c r="F1646" s="40" t="s">
        <v>57</v>
      </c>
      <c r="G1646" s="36">
        <v>2.5</v>
      </c>
      <c r="H1646" s="121">
        <f>_xlfn.XLOOKUP(C1646&amp;F1646&amp;I1646&amp;J1646,'[1]2025年已发货'!$F:$F&amp;'[1]2025年已发货'!$C:$C&amp;'[1]2025年已发货'!$G:$G&amp;'[1]2025年已发货'!$H:$H,'[1]2025年已发货'!$E:$E,"未发货")</f>
        <v>2.5</v>
      </c>
      <c r="I1646" s="120" t="str">
        <f>VLOOKUP(B1646,辅助信息!E:I,3,FALSE)</f>
        <v>（四川商建-射洪城乡一体化项目）遂宁市射洪市忠新幼儿园北侧约220米新溪小区</v>
      </c>
      <c r="J1646" s="120" t="str">
        <f>VLOOKUP(B1646,辅助信息!E:I,4,FALSE)</f>
        <v>柏子刚</v>
      </c>
      <c r="K1646" s="120">
        <f>VLOOKUP(J1646,辅助信息!H:I,2,FALSE)</f>
        <v>15692885305</v>
      </c>
      <c r="L1646" s="122" t="str">
        <f>VLOOKUP(B1646,辅助信息!E:J,6,FALSE)</f>
        <v>提前联系到场规格及数量</v>
      </c>
      <c r="M1646" s="91">
        <v>45804</v>
      </c>
      <c r="O1646" s="62">
        <f ca="1" t="shared" si="87"/>
        <v>0</v>
      </c>
      <c r="P1646" s="62">
        <f ca="1" t="shared" si="88"/>
        <v>156</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0">
        <v>45803</v>
      </c>
      <c r="D1647" s="120" t="str">
        <f>VLOOKUP(B1647,辅助信息!E:K,7,FALSE)</f>
        <v>JWDDCD2024121000136</v>
      </c>
      <c r="E1647" s="120" t="str">
        <f>VLOOKUP(F1647,辅助信息!A:B,2,FALSE)</f>
        <v>高线</v>
      </c>
      <c r="F1647" s="40" t="s">
        <v>53</v>
      </c>
      <c r="G1647" s="36">
        <v>7.5</v>
      </c>
      <c r="H1647" s="121">
        <f>_xlfn.XLOOKUP(C1647&amp;F1647&amp;I1647&amp;J1647,'[1]2025年已发货'!$F:$F&amp;'[1]2025年已发货'!$C:$C&amp;'[1]2025年已发货'!$G:$G&amp;'[1]2025年已发货'!$H:$H,'[1]2025年已发货'!$E:$E,"未发货")</f>
        <v>7.5</v>
      </c>
      <c r="I1647" s="120" t="str">
        <f>VLOOKUP(B1647,辅助信息!E:I,3,FALSE)</f>
        <v>（四川商建-射洪城乡一体化项目）遂宁市射洪市忠新幼儿园北侧约220米新溪小区</v>
      </c>
      <c r="J1647" s="120" t="str">
        <f>VLOOKUP(B1647,辅助信息!E:I,4,FALSE)</f>
        <v>柏子刚</v>
      </c>
      <c r="K1647" s="120">
        <f>VLOOKUP(J1647,辅助信息!H:I,2,FALSE)</f>
        <v>15692885305</v>
      </c>
      <c r="L1647" s="122" t="str">
        <f>VLOOKUP(B1647,辅助信息!E:J,6,FALSE)</f>
        <v>提前联系到场规格及数量</v>
      </c>
      <c r="M1647" s="91">
        <v>45804</v>
      </c>
      <c r="O1647" s="62">
        <f ca="1" t="shared" si="87"/>
        <v>0</v>
      </c>
      <c r="P1647" s="62">
        <f ca="1" t="shared" si="88"/>
        <v>156</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0">
        <v>45803</v>
      </c>
      <c r="D1648" s="120" t="str">
        <f>VLOOKUP(B1648,辅助信息!E:K,7,FALSE)</f>
        <v>JWDDCD2024121000136</v>
      </c>
      <c r="E1648" s="120" t="str">
        <f>VLOOKUP(F1648,辅助信息!A:B,2,FALSE)</f>
        <v>高线</v>
      </c>
      <c r="F1648" s="40" t="s">
        <v>51</v>
      </c>
      <c r="G1648" s="36">
        <v>7.5</v>
      </c>
      <c r="H1648" s="121">
        <f>_xlfn.XLOOKUP(C1648&amp;F1648&amp;I1648&amp;J1648,'[1]2025年已发货'!$F:$F&amp;'[1]2025年已发货'!$C:$C&amp;'[1]2025年已发货'!$G:$G&amp;'[1]2025年已发货'!$H:$H,'[1]2025年已发货'!$E:$E,"未发货")</f>
        <v>7.5</v>
      </c>
      <c r="I1648" s="120" t="str">
        <f>VLOOKUP(B1648,辅助信息!E:I,3,FALSE)</f>
        <v>（四川商建-射洪城乡一体化项目）遂宁市射洪市忠新幼儿园北侧约220米新溪小区</v>
      </c>
      <c r="J1648" s="120" t="str">
        <f>VLOOKUP(B1648,辅助信息!E:I,4,FALSE)</f>
        <v>柏子刚</v>
      </c>
      <c r="K1648" s="120">
        <f>VLOOKUP(J1648,辅助信息!H:I,2,FALSE)</f>
        <v>15692885305</v>
      </c>
      <c r="L1648" s="122" t="str">
        <f>VLOOKUP(B1648,辅助信息!E:J,6,FALSE)</f>
        <v>提前联系到场规格及数量</v>
      </c>
      <c r="M1648" s="91">
        <v>45804</v>
      </c>
      <c r="O1648" s="62">
        <f ca="1" t="shared" si="87"/>
        <v>0</v>
      </c>
      <c r="P1648" s="62">
        <f ca="1" t="shared" si="88"/>
        <v>156</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0">
        <v>45803</v>
      </c>
      <c r="D1649" s="120" t="str">
        <f>VLOOKUP(B1649,辅助信息!E:K,7,FALSE)</f>
        <v>JWDDCD2024121000136</v>
      </c>
      <c r="E1649" s="120" t="str">
        <f>VLOOKUP(F1649,辅助信息!A:B,2,FALSE)</f>
        <v>盘螺</v>
      </c>
      <c r="F1649" s="40" t="s">
        <v>49</v>
      </c>
      <c r="G1649" s="36">
        <v>18</v>
      </c>
      <c r="H1649" s="121">
        <f>_xlfn.XLOOKUP(C1649&amp;F1649&amp;I1649&amp;J1649,'[1]2025年已发货'!$F:$F&amp;'[1]2025年已发货'!$C:$C&amp;'[1]2025年已发货'!$G:$G&amp;'[1]2025年已发货'!$H:$H,'[1]2025年已发货'!$E:$E,"未发货")</f>
        <v>18</v>
      </c>
      <c r="I1649" s="120" t="str">
        <f>VLOOKUP(B1649,辅助信息!E:I,3,FALSE)</f>
        <v>（四川商建-射洪城乡一体化项目）遂宁市射洪市忠新幼儿园北侧约220米新溪小区</v>
      </c>
      <c r="J1649" s="120" t="str">
        <f>VLOOKUP(B1649,辅助信息!E:I,4,FALSE)</f>
        <v>柏子刚</v>
      </c>
      <c r="K1649" s="120">
        <f>VLOOKUP(J1649,辅助信息!H:I,2,FALSE)</f>
        <v>15692885305</v>
      </c>
      <c r="L1649" s="122" t="str">
        <f>VLOOKUP(B1649,辅助信息!E:J,6,FALSE)</f>
        <v>提前联系到场规格及数量</v>
      </c>
      <c r="M1649" s="91">
        <v>45804</v>
      </c>
      <c r="O1649" s="62">
        <f ca="1" t="shared" si="87"/>
        <v>0</v>
      </c>
      <c r="P1649" s="62">
        <f ca="1" t="shared" si="88"/>
        <v>156</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0">
        <v>45803</v>
      </c>
      <c r="D1650" s="120" t="str">
        <f>VLOOKUP(B1650,辅助信息!E:K,7,FALSE)</f>
        <v>JWDDCD2025060900080</v>
      </c>
      <c r="E1650" s="120" t="str">
        <f>VLOOKUP(F1650,辅助信息!A:B,2,FALSE)</f>
        <v>盘螺</v>
      </c>
      <c r="F1650" s="40" t="s">
        <v>49</v>
      </c>
      <c r="G1650" s="36">
        <v>10</v>
      </c>
      <c r="H1650" s="121">
        <f>_xlfn.XLOOKUP(C1650&amp;F1650&amp;I1650&amp;J1650,'[1]2025年已发货'!$F:$F&amp;'[1]2025年已发货'!$C:$C&amp;'[1]2025年已发货'!$G:$G&amp;'[1]2025年已发货'!$H:$H,'[1]2025年已发货'!$E:$E,"未发货")</f>
        <v>10</v>
      </c>
      <c r="I1650" s="120" t="str">
        <f>VLOOKUP(B1650,辅助信息!E:I,3,FALSE)</f>
        <v>（华西简阳西城嘉苑）四川省成都市简阳市简城街道高屋村</v>
      </c>
      <c r="J1650" s="120" t="str">
        <f>VLOOKUP(B1650,辅助信息!E:I,4,FALSE)</f>
        <v>张瀚镭</v>
      </c>
      <c r="K1650" s="120">
        <f>VLOOKUP(J1650,辅助信息!H:I,2,FALSE)</f>
        <v>15884666220</v>
      </c>
      <c r="L1650" s="122" t="str">
        <f>VLOOKUP(B1650,辅助信息!E:J,6,FALSE)</f>
        <v>现场禁止使用氢能源挂车！优先威钢发货,我方卸车,新老国标钢厂不加价可直发，因陕钢多次出现磅差，项目拒绝使用</v>
      </c>
      <c r="M1650" s="91">
        <v>45799</v>
      </c>
      <c r="O1650" s="62">
        <f ca="1" t="shared" si="87"/>
        <v>0</v>
      </c>
      <c r="P1650" s="62">
        <f ca="1" t="shared" si="88"/>
        <v>161</v>
      </c>
      <c r="Q1650" s="29" t="str">
        <f>VLOOKUP(B1650,辅助信息!E:M,9,FALSE)</f>
        <v>ZTWM-CDGS-XS-2024-0030-华西集采-简州大道</v>
      </c>
    </row>
    <row r="1651" hidden="1" spans="2:18">
      <c r="B1651" s="40" t="s">
        <v>81</v>
      </c>
      <c r="C1651" s="70">
        <v>45803</v>
      </c>
      <c r="D1651" s="120" t="str">
        <f>VLOOKUP(B1651,辅助信息!E:K,7,FALSE)</f>
        <v>JWDDCD2025060900080</v>
      </c>
      <c r="E1651" s="120" t="str">
        <f>VLOOKUP(F1651,辅助信息!A:B,2,FALSE)</f>
        <v>螺纹钢</v>
      </c>
      <c r="F1651" s="40" t="s">
        <v>30</v>
      </c>
      <c r="G1651" s="36">
        <v>25</v>
      </c>
      <c r="H1651" s="121">
        <f>_xlfn.XLOOKUP(C1651&amp;F1651&amp;I1651&amp;J1651,'[1]2025年已发货'!$F:$F&amp;'[1]2025年已发货'!$C:$C&amp;'[1]2025年已发货'!$G:$G&amp;'[1]2025年已发货'!$H:$H,'[1]2025年已发货'!$E:$E,"未发货")</f>
        <v>25</v>
      </c>
      <c r="I1651" s="120" t="str">
        <f>VLOOKUP(B1651,辅助信息!E:I,3,FALSE)</f>
        <v>（华西简阳西城嘉苑）四川省成都市简阳市简城街道高屋村</v>
      </c>
      <c r="J1651" s="120" t="str">
        <f>VLOOKUP(B1651,辅助信息!E:I,4,FALSE)</f>
        <v>张瀚镭</v>
      </c>
      <c r="K1651" s="120">
        <f>VLOOKUP(J1651,辅助信息!H:I,2,FALSE)</f>
        <v>15884666220</v>
      </c>
      <c r="L1651" s="122" t="str">
        <f>VLOOKUP(B1651,辅助信息!E:J,6,FALSE)</f>
        <v>现场禁止使用氢能源挂车！优先威钢发货,我方卸车,新老国标钢厂不加价可直发，因陕钢多次出现磅差，项目拒绝使用</v>
      </c>
      <c r="M1651" s="91">
        <v>45807</v>
      </c>
      <c r="O1651" s="62">
        <f ca="1" t="shared" si="87"/>
        <v>0</v>
      </c>
      <c r="P1651" s="62">
        <f ca="1" t="shared" si="88"/>
        <v>153</v>
      </c>
      <c r="Q1651" s="29" t="str">
        <f>VLOOKUP(B1651,辅助信息!E:M,9,FALSE)</f>
        <v>ZTWM-CDGS-XS-2024-0030-华西集采-简州大道</v>
      </c>
      <c r="R1651" s="29" t="str">
        <f>_xlfn._xlws.FILTER(辅助信息!D:D,辅助信息!E:E=B1651)</f>
        <v>华西简阳西城嘉苑</v>
      </c>
    </row>
    <row r="1652" hidden="1" spans="2:18">
      <c r="B1652" s="40" t="s">
        <v>44</v>
      </c>
      <c r="C1652" s="70">
        <v>45803</v>
      </c>
      <c r="D1652" s="120" t="str">
        <f>VLOOKUP(B1652,辅助信息!E:K,7,FALSE)</f>
        <v>JWDDCD2025060600053</v>
      </c>
      <c r="E1652" s="120" t="str">
        <f>VLOOKUP(F1652,辅助信息!A:B,2,FALSE)</f>
        <v>盘螺</v>
      </c>
      <c r="F1652" s="40" t="s">
        <v>49</v>
      </c>
      <c r="G1652" s="36">
        <v>17.5</v>
      </c>
      <c r="H1652" s="121">
        <f>_xlfn.XLOOKUP(C1652&amp;F1652&amp;I1652&amp;J1652,'[1]2025年已发货'!$F:$F&amp;'[1]2025年已发货'!$C:$C&amp;'[1]2025年已发货'!$G:$G&amp;'[1]2025年已发货'!$H:$H,'[1]2025年已发货'!$E:$E,"未发货")</f>
        <v>17.5</v>
      </c>
      <c r="I1652" s="120" t="str">
        <f>VLOOKUP(B1652,辅助信息!E:I,3,FALSE)</f>
        <v>（华西酒城南）成都市武侯区火车南站西路8号酒城南项目</v>
      </c>
      <c r="J1652" s="120" t="str">
        <f>VLOOKUP(B1652,辅助信息!E:I,4,FALSE)</f>
        <v>龙耀宇</v>
      </c>
      <c r="K1652" s="120">
        <f>VLOOKUP(J1652,辅助信息!H:I,2,FALSE)</f>
        <v>18384145895</v>
      </c>
      <c r="L1652" s="122" t="str">
        <f>VLOOKUP(B1652,辅助信息!E:J,6,FALSE)</f>
        <v>对方卸车</v>
      </c>
      <c r="M1652" s="91">
        <v>45804</v>
      </c>
      <c r="O1652" s="62">
        <f ca="1" t="shared" si="87"/>
        <v>0</v>
      </c>
      <c r="P1652" s="62">
        <f ca="1" t="shared" si="88"/>
        <v>156</v>
      </c>
      <c r="Q1652" s="29" t="str">
        <f>VLOOKUP(B1652,辅助信息!E:M,9,FALSE)</f>
        <v>ZTWM-CDGS-XS-2024-0189-华西集采-酒城南项目</v>
      </c>
      <c r="R1652" s="29" t="str">
        <f>_xlfn._xlws.FILTER(辅助信息!D:D,辅助信息!E:E=B1652)</f>
        <v>华西酒城南</v>
      </c>
    </row>
    <row r="1653" hidden="1" spans="2:18">
      <c r="B1653" s="40" t="s">
        <v>44</v>
      </c>
      <c r="C1653" s="70">
        <v>45803</v>
      </c>
      <c r="D1653" s="120" t="str">
        <f>VLOOKUP(B1653,辅助信息!E:K,7,FALSE)</f>
        <v>JWDDCD2025060600053</v>
      </c>
      <c r="E1653" s="120" t="str">
        <f>VLOOKUP(F1653,辅助信息!A:B,2,FALSE)</f>
        <v>盘螺</v>
      </c>
      <c r="F1653" s="40" t="s">
        <v>41</v>
      </c>
      <c r="G1653" s="36">
        <v>2.5</v>
      </c>
      <c r="H1653" s="121">
        <f>_xlfn.XLOOKUP(C1653&amp;F1653&amp;I1653&amp;J1653,'[1]2025年已发货'!$F:$F&amp;'[1]2025年已发货'!$C:$C&amp;'[1]2025年已发货'!$G:$G&amp;'[1]2025年已发货'!$H:$H,'[1]2025年已发货'!$E:$E,"未发货")</f>
        <v>2.5</v>
      </c>
      <c r="I1653" s="120" t="str">
        <f>VLOOKUP(B1653,辅助信息!E:I,3,FALSE)</f>
        <v>（华西酒城南）成都市武侯区火车南站西路8号酒城南项目</v>
      </c>
      <c r="J1653" s="120" t="str">
        <f>VLOOKUP(B1653,辅助信息!E:I,4,FALSE)</f>
        <v>龙耀宇</v>
      </c>
      <c r="K1653" s="120">
        <f>VLOOKUP(J1653,辅助信息!H:I,2,FALSE)</f>
        <v>18384145895</v>
      </c>
      <c r="L1653" s="122" t="str">
        <f>VLOOKUP(B1653,辅助信息!E:J,6,FALSE)</f>
        <v>对方卸车</v>
      </c>
      <c r="M1653" s="91">
        <v>45804</v>
      </c>
      <c r="O1653" s="62">
        <f ca="1" t="shared" si="87"/>
        <v>0</v>
      </c>
      <c r="P1653" s="62">
        <f ca="1" t="shared" si="88"/>
        <v>156</v>
      </c>
      <c r="Q1653" s="29" t="str">
        <f>VLOOKUP(B1653,辅助信息!E:M,9,FALSE)</f>
        <v>ZTWM-CDGS-XS-2024-0189-华西集采-酒城南项目</v>
      </c>
      <c r="R1653" s="29" t="str">
        <f>_xlfn._xlws.FILTER(辅助信息!D:D,辅助信息!E:E=B1653)</f>
        <v>华西酒城南</v>
      </c>
    </row>
    <row r="1654" hidden="1" spans="2:18">
      <c r="B1654" s="40" t="s">
        <v>44</v>
      </c>
      <c r="C1654" s="70">
        <v>45803</v>
      </c>
      <c r="D1654" s="120" t="str">
        <f>VLOOKUP(B1654,辅助信息!E:K,7,FALSE)</f>
        <v>JWDDCD2025060600053</v>
      </c>
      <c r="E1654" s="120" t="str">
        <f>VLOOKUP(F1654,辅助信息!A:B,2,FALSE)</f>
        <v>盘螺</v>
      </c>
      <c r="F1654" s="40" t="s">
        <v>26</v>
      </c>
      <c r="G1654" s="36">
        <v>15</v>
      </c>
      <c r="H1654" s="121">
        <f>_xlfn.XLOOKUP(C1654&amp;F1654&amp;I1654&amp;J1654,'[1]2025年已发货'!$F:$F&amp;'[1]2025年已发货'!$C:$C&amp;'[1]2025年已发货'!$G:$G&amp;'[1]2025年已发货'!$H:$H,'[1]2025年已发货'!$E:$E,"未发货")</f>
        <v>15</v>
      </c>
      <c r="I1654" s="120" t="str">
        <f>VLOOKUP(B1654,辅助信息!E:I,3,FALSE)</f>
        <v>（华西酒城南）成都市武侯区火车南站西路8号酒城南项目</v>
      </c>
      <c r="J1654" s="120" t="str">
        <f>VLOOKUP(B1654,辅助信息!E:I,4,FALSE)</f>
        <v>龙耀宇</v>
      </c>
      <c r="K1654" s="120">
        <f>VLOOKUP(J1654,辅助信息!H:I,2,FALSE)</f>
        <v>18384145895</v>
      </c>
      <c r="L1654" s="122" t="str">
        <f>VLOOKUP(B1654,辅助信息!E:J,6,FALSE)</f>
        <v>对方卸车</v>
      </c>
      <c r="M1654" s="91">
        <v>45804</v>
      </c>
      <c r="O1654" s="62">
        <f ca="1" t="shared" si="87"/>
        <v>0</v>
      </c>
      <c r="P1654" s="62">
        <f ca="1" t="shared" si="88"/>
        <v>156</v>
      </c>
      <c r="Q1654" s="29" t="str">
        <f>VLOOKUP(B1654,辅助信息!E:M,9,FALSE)</f>
        <v>ZTWM-CDGS-XS-2024-0189-华西集采-酒城南项目</v>
      </c>
      <c r="R1654" s="29" t="str">
        <f>_xlfn._xlws.FILTER(辅助信息!D:D,辅助信息!E:E=B1654)</f>
        <v>华西酒城南</v>
      </c>
    </row>
    <row r="1655" hidden="1" spans="2:18">
      <c r="B1655" s="40" t="s">
        <v>151</v>
      </c>
      <c r="C1655" s="70">
        <v>45803</v>
      </c>
      <c r="D1655" s="120" t="str">
        <f>VLOOKUP(B1655,辅助信息!E:K,7,FALSE)</f>
        <v>JWDDCD2025051000019</v>
      </c>
      <c r="E1655" s="120" t="str">
        <f>VLOOKUP(F1655,辅助信息!A:B,2,FALSE)</f>
        <v>螺纹钢</v>
      </c>
      <c r="F1655" s="40" t="s">
        <v>27</v>
      </c>
      <c r="G1655" s="36">
        <v>3</v>
      </c>
      <c r="H1655" s="121">
        <f>_xlfn.XLOOKUP(C1655&amp;F1655&amp;I1655&amp;J1655,'[1]2025年已发货'!$F:$F&amp;'[1]2025年已发货'!$C:$C&amp;'[1]2025年已发货'!$G:$G&amp;'[1]2025年已发货'!$H:$H,'[1]2025年已发货'!$E:$E,"未发货")</f>
        <v>3</v>
      </c>
      <c r="I1655" s="120" t="str">
        <f>VLOOKUP(B1655,辅助信息!E:I,3,FALSE)</f>
        <v>(五冶钢构医学科学产业园建设项目房建一部-四标（3-7）)四川省南充市顺庆区搬罾街道学府大道二段</v>
      </c>
      <c r="J1655" s="120" t="str">
        <f>VLOOKUP(B1655,辅助信息!E:I,4,FALSE)</f>
        <v>胡泽宇</v>
      </c>
      <c r="K1655" s="120">
        <f>VLOOKUP(J1655,辅助信息!H:I,2,FALSE)</f>
        <v>18141337338</v>
      </c>
      <c r="L1655" s="122" t="str">
        <f>VLOOKUP(B1655,辅助信息!E:J,6,FALSE)</f>
        <v>送货单：送货单位：南充思临新材料科技有限公司,收货单位：五冶集团川北(南充)建设有限公司,项目名称：南充医学科学产业园,送货车型13米,装货前联系收货人核实到场规格</v>
      </c>
      <c r="M1655" s="91">
        <v>45804</v>
      </c>
      <c r="O1655" s="62">
        <f ca="1" t="shared" ref="O1655:O1664" si="89">IF(OR(M1655="",N1655&lt;&gt;""),"",MAX(M1655-TODAY(),0))</f>
        <v>0</v>
      </c>
      <c r="P1655" s="62">
        <f ca="1" t="shared" ref="P1655:P1664" si="90">IF(M1655="","",IF(N1655&lt;&gt;"",MAX(N1655-M1655,0),IF(TODAY()&gt;M1655,TODAY()-M1655,0)))</f>
        <v>156</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0">
        <v>45803</v>
      </c>
      <c r="D1656" s="120" t="str">
        <f>VLOOKUP(B1656,辅助信息!E:K,7,FALSE)</f>
        <v>JWDDCD2025051000019</v>
      </c>
      <c r="E1656" s="120" t="str">
        <f>VLOOKUP(F1656,辅助信息!A:B,2,FALSE)</f>
        <v>螺纹钢</v>
      </c>
      <c r="F1656" s="40" t="s">
        <v>19</v>
      </c>
      <c r="G1656" s="36">
        <v>30</v>
      </c>
      <c r="H1656" s="121">
        <f>_xlfn.XLOOKUP(C1656&amp;F1656&amp;I1656&amp;J1656,'[1]2025年已发货'!$F:$F&amp;'[1]2025年已发货'!$C:$C&amp;'[1]2025年已发货'!$G:$G&amp;'[1]2025年已发货'!$H:$H,'[1]2025年已发货'!$E:$E,"未发货")</f>
        <v>30</v>
      </c>
      <c r="I1656" s="120" t="str">
        <f>VLOOKUP(B1656,辅助信息!E:I,3,FALSE)</f>
        <v>(五冶钢构医学科学产业园建设项目房建一部-四标（3-7）)四川省南充市顺庆区搬罾街道学府大道二段</v>
      </c>
      <c r="J1656" s="120" t="str">
        <f>VLOOKUP(B1656,辅助信息!E:I,4,FALSE)</f>
        <v>胡泽宇</v>
      </c>
      <c r="K1656" s="120">
        <f>VLOOKUP(J1656,辅助信息!H:I,2,FALSE)</f>
        <v>18141337338</v>
      </c>
      <c r="L1656" s="122" t="str">
        <f>VLOOKUP(B1656,辅助信息!E:J,6,FALSE)</f>
        <v>送货单：送货单位：南充思临新材料科技有限公司,收货单位：五冶集团川北(南充)建设有限公司,项目名称：南充医学科学产业园,送货车型13米,装货前联系收货人核实到场规格</v>
      </c>
      <c r="M1656" s="91">
        <v>45804</v>
      </c>
      <c r="O1656" s="62">
        <f ca="1" t="shared" si="89"/>
        <v>0</v>
      </c>
      <c r="P1656" s="62">
        <f ca="1" t="shared" si="90"/>
        <v>156</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0">
        <v>45803</v>
      </c>
      <c r="D1657" s="120" t="str">
        <f>VLOOKUP(B1657,辅助信息!E:K,7,FALSE)</f>
        <v>JWDDCD2025051000019</v>
      </c>
      <c r="E1657" s="120" t="str">
        <f>VLOOKUP(F1657,辅助信息!A:B,2,FALSE)</f>
        <v>螺纹钢</v>
      </c>
      <c r="F1657" s="40" t="s">
        <v>32</v>
      </c>
      <c r="G1657" s="36">
        <v>3</v>
      </c>
      <c r="H1657" s="121">
        <f>_xlfn.XLOOKUP(C1657&amp;F1657&amp;I1657&amp;J1657,'[1]2025年已发货'!$F:$F&amp;'[1]2025年已发货'!$C:$C&amp;'[1]2025年已发货'!$G:$G&amp;'[1]2025年已发货'!$H:$H,'[1]2025年已发货'!$E:$E,"未发货")</f>
        <v>3</v>
      </c>
      <c r="I1657" s="120" t="str">
        <f>VLOOKUP(B1657,辅助信息!E:I,3,FALSE)</f>
        <v>(五冶钢构医学科学产业园建设项目房建一部-四标（3-7）)四川省南充市顺庆区搬罾街道学府大道二段</v>
      </c>
      <c r="J1657" s="120" t="str">
        <f>VLOOKUP(B1657,辅助信息!E:I,4,FALSE)</f>
        <v>胡泽宇</v>
      </c>
      <c r="K1657" s="120">
        <f>VLOOKUP(J1657,辅助信息!H:I,2,FALSE)</f>
        <v>18141337338</v>
      </c>
      <c r="L1657" s="122" t="str">
        <f>VLOOKUP(B1657,辅助信息!E:J,6,FALSE)</f>
        <v>送货单：送货单位：南充思临新材料科技有限公司,收货单位：五冶集团川北(南充)建设有限公司,项目名称：南充医学科学产业园,送货车型13米,装货前联系收货人核实到场规格</v>
      </c>
      <c r="M1657" s="91">
        <v>45804</v>
      </c>
      <c r="O1657" s="62">
        <f ca="1" t="shared" si="89"/>
        <v>0</v>
      </c>
      <c r="P1657" s="62">
        <f ca="1" t="shared" si="90"/>
        <v>156</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0">
        <v>45803</v>
      </c>
      <c r="D1658" s="120" t="str">
        <f>VLOOKUP(B1658,辅助信息!E:K,7,FALSE)</f>
        <v>JWDDCD2025052800131</v>
      </c>
      <c r="E1658" s="120" t="str">
        <f>VLOOKUP(F1658,辅助信息!A:B,2,FALSE)</f>
        <v>螺纹钢</v>
      </c>
      <c r="F1658" s="40" t="s">
        <v>66</v>
      </c>
      <c r="G1658" s="36">
        <v>9</v>
      </c>
      <c r="H1658" s="121" t="str">
        <f>_xlfn.XLOOKUP(C1658&amp;F1658&amp;I1658&amp;J1658,'[1]2025年已发货'!$F:$F&amp;'[1]2025年已发货'!$C:$C&amp;'[1]2025年已发货'!$G:$G&amp;'[1]2025年已发货'!$H:$H,'[1]2025年已发货'!$E:$E,"未发货")</f>
        <v>未发货</v>
      </c>
      <c r="I1658" s="120" t="str">
        <f>VLOOKUP(B1658,辅助信息!E:I,3,FALSE)</f>
        <v>（商投建工达州中医药科技园-3工区）达州市通川区达州中医药职业学院犀牛大道北段</v>
      </c>
      <c r="J1658" s="120" t="str">
        <f>VLOOKUP(B1658,辅助信息!E:I,4,FALSE)</f>
        <v>程黄刚</v>
      </c>
      <c r="K1658" s="120">
        <f>VLOOKUP(J1658,辅助信息!H:I,2,FALSE)</f>
        <v>15108211617</v>
      </c>
      <c r="L1658" s="122" t="str">
        <f>VLOOKUP(B1658,辅助信息!E:J,6,FALSE)</f>
        <v>控制炉批号！多了现场不收！,优先安排达钢,提前联系到场规格及数量</v>
      </c>
      <c r="M1658" s="91">
        <v>45806</v>
      </c>
      <c r="O1658" s="62">
        <f ca="1" t="shared" si="89"/>
        <v>0</v>
      </c>
      <c r="P1658" s="62">
        <f ca="1" t="shared" si="90"/>
        <v>154</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0">
        <v>45803</v>
      </c>
      <c r="D1659" s="120" t="str">
        <f>VLOOKUP(B1659,辅助信息!E:K,7,FALSE)</f>
        <v>JWDDCD2025052800131</v>
      </c>
      <c r="E1659" s="120" t="str">
        <f>VLOOKUP(F1659,辅助信息!A:B,2,FALSE)</f>
        <v>螺纹钢</v>
      </c>
      <c r="F1659" s="40" t="s">
        <v>82</v>
      </c>
      <c r="G1659" s="36">
        <v>6</v>
      </c>
      <c r="H1659" s="121" t="str">
        <f>_xlfn.XLOOKUP(C1659&amp;F1659&amp;I1659&amp;J1659,'[1]2025年已发货'!$F:$F&amp;'[1]2025年已发货'!$C:$C&amp;'[1]2025年已发货'!$G:$G&amp;'[1]2025年已发货'!$H:$H,'[1]2025年已发货'!$E:$E,"未发货")</f>
        <v>未发货</v>
      </c>
      <c r="I1659" s="120" t="str">
        <f>VLOOKUP(B1659,辅助信息!E:I,3,FALSE)</f>
        <v>（商投建工达州中医药科技园-3工区）达州市通川区达州中医药职业学院犀牛大道北段</v>
      </c>
      <c r="J1659" s="120" t="str">
        <f>VLOOKUP(B1659,辅助信息!E:I,4,FALSE)</f>
        <v>程黄刚</v>
      </c>
      <c r="K1659" s="120">
        <f>VLOOKUP(J1659,辅助信息!H:I,2,FALSE)</f>
        <v>15108211617</v>
      </c>
      <c r="L1659" s="122" t="str">
        <f>VLOOKUP(B1659,辅助信息!E:J,6,FALSE)</f>
        <v>控制炉批号！多了现场不收！,优先安排达钢,提前联系到场规格及数量</v>
      </c>
      <c r="M1659" s="91">
        <v>45806</v>
      </c>
      <c r="O1659" s="62">
        <f ca="1" t="shared" si="89"/>
        <v>0</v>
      </c>
      <c r="P1659" s="62">
        <f ca="1" t="shared" si="90"/>
        <v>154</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0">
        <v>45803</v>
      </c>
      <c r="D1660" s="120" t="str">
        <f>VLOOKUP(B1660,辅助信息!E:K,7,FALSE)</f>
        <v>JWDDCD2025052800131</v>
      </c>
      <c r="E1660" s="120" t="str">
        <f>VLOOKUP(F1660,辅助信息!A:B,2,FALSE)</f>
        <v>螺纹钢</v>
      </c>
      <c r="F1660" s="40" t="s">
        <v>45</v>
      </c>
      <c r="G1660" s="36">
        <v>6</v>
      </c>
      <c r="H1660" s="121" t="str">
        <f>_xlfn.XLOOKUP(C1660&amp;F1660&amp;I1660&amp;J1660,'[1]2025年已发货'!$F:$F&amp;'[1]2025年已发货'!$C:$C&amp;'[1]2025年已发货'!$G:$G&amp;'[1]2025年已发货'!$H:$H,'[1]2025年已发货'!$E:$E,"未发货")</f>
        <v>未发货</v>
      </c>
      <c r="I1660" s="120" t="str">
        <f>VLOOKUP(B1660,辅助信息!E:I,3,FALSE)</f>
        <v>（商投建工达州中医药科技园-3工区）达州市通川区达州中医药职业学院犀牛大道北段</v>
      </c>
      <c r="J1660" s="120" t="str">
        <f>VLOOKUP(B1660,辅助信息!E:I,4,FALSE)</f>
        <v>程黄刚</v>
      </c>
      <c r="K1660" s="120">
        <f>VLOOKUP(J1660,辅助信息!H:I,2,FALSE)</f>
        <v>15108211617</v>
      </c>
      <c r="L1660" s="122" t="str">
        <f>VLOOKUP(B1660,辅助信息!E:J,6,FALSE)</f>
        <v>控制炉批号！多了现场不收！,优先安排达钢,提前联系到场规格及数量</v>
      </c>
      <c r="M1660" s="91">
        <v>45806</v>
      </c>
      <c r="O1660" s="62">
        <f ca="1" t="shared" si="89"/>
        <v>0</v>
      </c>
      <c r="P1660" s="62">
        <f ca="1" t="shared" si="90"/>
        <v>154</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0">
        <v>45803</v>
      </c>
      <c r="D1661" s="120" t="str">
        <f>VLOOKUP(B1661,辅助信息!E:K,7,FALSE)</f>
        <v>JWDDCD2025052800131</v>
      </c>
      <c r="E1661" s="120" t="str">
        <f>VLOOKUP(F1661,辅助信息!A:B,2,FALSE)</f>
        <v>螺纹钢</v>
      </c>
      <c r="F1661" s="40" t="s">
        <v>21</v>
      </c>
      <c r="G1661" s="36">
        <v>6</v>
      </c>
      <c r="H1661" s="121" t="str">
        <f>_xlfn.XLOOKUP(C1661&amp;F1661&amp;I1661&amp;J1661,'[1]2025年已发货'!$F:$F&amp;'[1]2025年已发货'!$C:$C&amp;'[1]2025年已发货'!$G:$G&amp;'[1]2025年已发货'!$H:$H,'[1]2025年已发货'!$E:$E,"未发货")</f>
        <v>未发货</v>
      </c>
      <c r="I1661" s="120" t="str">
        <f>VLOOKUP(B1661,辅助信息!E:I,3,FALSE)</f>
        <v>（商投建工达州中医药科技园-3工区）达州市通川区达州中医药职业学院犀牛大道北段</v>
      </c>
      <c r="J1661" s="120" t="str">
        <f>VLOOKUP(B1661,辅助信息!E:I,4,FALSE)</f>
        <v>程黄刚</v>
      </c>
      <c r="K1661" s="120">
        <f>VLOOKUP(J1661,辅助信息!H:I,2,FALSE)</f>
        <v>15108211617</v>
      </c>
      <c r="L1661" s="122" t="str">
        <f>VLOOKUP(B1661,辅助信息!E:J,6,FALSE)</f>
        <v>控制炉批号！多了现场不收！,优先安排达钢,提前联系到场规格及数量</v>
      </c>
      <c r="M1661" s="91">
        <v>45806</v>
      </c>
      <c r="O1661" s="62">
        <f ca="1" t="shared" si="89"/>
        <v>0</v>
      </c>
      <c r="P1661" s="62">
        <f ca="1" t="shared" si="90"/>
        <v>154</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0">
        <v>45803</v>
      </c>
      <c r="D1662" s="120" t="str">
        <f>VLOOKUP(B1662,辅助信息!E:K,7,FALSE)</f>
        <v>JWDDCD2025052800131</v>
      </c>
      <c r="E1662" s="120" t="str">
        <f>VLOOKUP(F1662,辅助信息!A:B,2,FALSE)</f>
        <v>螺纹钢</v>
      </c>
      <c r="F1662" s="40" t="s">
        <v>58</v>
      </c>
      <c r="G1662" s="36">
        <v>9</v>
      </c>
      <c r="H1662" s="121" t="str">
        <f>_xlfn.XLOOKUP(C1662&amp;F1662&amp;I1662&amp;J1662,'[1]2025年已发货'!$F:$F&amp;'[1]2025年已发货'!$C:$C&amp;'[1]2025年已发货'!$G:$G&amp;'[1]2025年已发货'!$H:$H,'[1]2025年已发货'!$E:$E,"未发货")</f>
        <v>未发货</v>
      </c>
      <c r="I1662" s="120" t="str">
        <f>VLOOKUP(B1662,辅助信息!E:I,3,FALSE)</f>
        <v>（商投建工达州中医药科技园-3工区）达州市通川区达州中医药职业学院犀牛大道北段</v>
      </c>
      <c r="J1662" s="120" t="str">
        <f>VLOOKUP(B1662,辅助信息!E:I,4,FALSE)</f>
        <v>程黄刚</v>
      </c>
      <c r="K1662" s="120">
        <f>VLOOKUP(J1662,辅助信息!H:I,2,FALSE)</f>
        <v>15108211617</v>
      </c>
      <c r="L1662" s="122" t="str">
        <f>VLOOKUP(B1662,辅助信息!E:J,6,FALSE)</f>
        <v>控制炉批号！多了现场不收！,优先安排达钢,提前联系到场规格及数量</v>
      </c>
      <c r="M1662" s="91">
        <v>45806</v>
      </c>
      <c r="O1662" s="62">
        <f ca="1" t="shared" si="89"/>
        <v>0</v>
      </c>
      <c r="P1662" s="62">
        <f ca="1" t="shared" si="90"/>
        <v>154</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0">
        <v>45803</v>
      </c>
      <c r="D1663" s="120" t="str">
        <f>VLOOKUP(B1663,辅助信息!E:K,7,FALSE)</f>
        <v>JWDDCD2025052800131</v>
      </c>
      <c r="E1663" s="120" t="str">
        <f>VLOOKUP(F1663,辅助信息!A:B,2,FALSE)</f>
        <v>螺纹钢</v>
      </c>
      <c r="F1663" s="40" t="s">
        <v>46</v>
      </c>
      <c r="G1663" s="36">
        <v>9</v>
      </c>
      <c r="H1663" s="121" t="str">
        <f>_xlfn.XLOOKUP(C1663&amp;F1663&amp;I1663&amp;J1663,'[1]2025年已发货'!$F:$F&amp;'[1]2025年已发货'!$C:$C&amp;'[1]2025年已发货'!$G:$G&amp;'[1]2025年已发货'!$H:$H,'[1]2025年已发货'!$E:$E,"未发货")</f>
        <v>未发货</v>
      </c>
      <c r="I1663" s="120" t="str">
        <f>VLOOKUP(B1663,辅助信息!E:I,3,FALSE)</f>
        <v>（商投建工达州中医药科技园-3工区）达州市通川区达州中医药职业学院犀牛大道北段</v>
      </c>
      <c r="J1663" s="120" t="str">
        <f>VLOOKUP(B1663,辅助信息!E:I,4,FALSE)</f>
        <v>程黄刚</v>
      </c>
      <c r="K1663" s="120">
        <f>VLOOKUP(J1663,辅助信息!H:I,2,FALSE)</f>
        <v>15108211617</v>
      </c>
      <c r="L1663" s="122" t="str">
        <f>VLOOKUP(B1663,辅助信息!E:J,6,FALSE)</f>
        <v>控制炉批号！多了现场不收！,优先安排达钢,提前联系到场规格及数量</v>
      </c>
      <c r="M1663" s="91">
        <v>45806</v>
      </c>
      <c r="O1663" s="62">
        <f ca="1" t="shared" si="89"/>
        <v>0</v>
      </c>
      <c r="P1663" s="62">
        <f ca="1" t="shared" si="90"/>
        <v>154</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0">
        <v>45803</v>
      </c>
      <c r="D1664" s="120" t="str">
        <f>VLOOKUP(B1664,辅助信息!E:K,7,FALSE)</f>
        <v>JWDDCD2025052800131</v>
      </c>
      <c r="E1664" s="120" t="str">
        <f>VLOOKUP(F1664,辅助信息!A:B,2,FALSE)</f>
        <v>螺纹钢</v>
      </c>
      <c r="F1664" s="40" t="s">
        <v>22</v>
      </c>
      <c r="G1664" s="36">
        <v>27</v>
      </c>
      <c r="H1664" s="121" t="str">
        <f>_xlfn.XLOOKUP(C1664&amp;F1664&amp;I1664&amp;J1664,'[1]2025年已发货'!$F:$F&amp;'[1]2025年已发货'!$C:$C&amp;'[1]2025年已发货'!$G:$G&amp;'[1]2025年已发货'!$H:$H,'[1]2025年已发货'!$E:$E,"未发货")</f>
        <v>未发货</v>
      </c>
      <c r="I1664" s="120" t="str">
        <f>VLOOKUP(B1664,辅助信息!E:I,3,FALSE)</f>
        <v>（商投建工达州中医药科技园-3工区）达州市通川区达州中医药职业学院犀牛大道北段</v>
      </c>
      <c r="J1664" s="120" t="str">
        <f>VLOOKUP(B1664,辅助信息!E:I,4,FALSE)</f>
        <v>程黄刚</v>
      </c>
      <c r="K1664" s="120">
        <f>VLOOKUP(J1664,辅助信息!H:I,2,FALSE)</f>
        <v>15108211617</v>
      </c>
      <c r="L1664" s="122" t="str">
        <f>VLOOKUP(B1664,辅助信息!E:J,6,FALSE)</f>
        <v>控制炉批号！多了现场不收！,优先安排达钢,提前联系到场规格及数量</v>
      </c>
      <c r="M1664" s="91">
        <v>45806</v>
      </c>
      <c r="O1664" s="62">
        <f ca="1" t="shared" si="89"/>
        <v>0</v>
      </c>
      <c r="P1664" s="62">
        <f ca="1" t="shared" si="90"/>
        <v>154</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0">
        <v>45806</v>
      </c>
      <c r="D1665" s="120" t="str">
        <f>VLOOKUP(B1665,辅助信息!E:K,7,FALSE)</f>
        <v>JWDDCD2025051800046</v>
      </c>
      <c r="E1665" s="120" t="str">
        <f>VLOOKUP(F1665,辅助信息!A:B,2,FALSE)</f>
        <v>盘螺</v>
      </c>
      <c r="F1665" s="40" t="s">
        <v>40</v>
      </c>
      <c r="G1665" s="36">
        <v>12</v>
      </c>
      <c r="H1665" s="121">
        <f>_xlfn.XLOOKUP(C1665&amp;F1665&amp;I1665&amp;J1665,'[1]2025年已发货'!$F:$F&amp;'[1]2025年已发货'!$C:$C&amp;'[1]2025年已发货'!$G:$G&amp;'[1]2025年已发货'!$H:$H,'[1]2025年已发货'!$E:$E,"未发货")</f>
        <v>12</v>
      </c>
      <c r="I1665" s="120" t="str">
        <f>VLOOKUP(B1665,辅助信息!E:I,3,FALSE)</f>
        <v>（华西萌海科创农业生态谷）成都市简阳市白金山水库</v>
      </c>
      <c r="J1665" s="120" t="str">
        <f>VLOOKUP(B1665,辅助信息!E:I,4,FALSE)</f>
        <v>石清国</v>
      </c>
      <c r="K1665" s="120">
        <f>VLOOKUP(J1665,辅助信息!H:I,2,FALSE)</f>
        <v>13458642015</v>
      </c>
      <c r="L1665" s="122" t="str">
        <f>VLOOKUP(B1665,辅助信息!E:J,6,FALSE)</f>
        <v>优先威钢,我方卸车,新老国标钢厂不加价可直发</v>
      </c>
      <c r="M1665" s="91">
        <v>45807</v>
      </c>
      <c r="O1665" s="62">
        <f ca="1" t="shared" ref="O1665:O1685" si="91">IF(OR(M1665="",N1665&lt;&gt;""),"",MAX(M1665-TODAY(),0))</f>
        <v>0</v>
      </c>
      <c r="P1665" s="62">
        <f ca="1" t="shared" ref="P1665:P1685" si="92">IF(M1665="","",IF(N1665&lt;&gt;"",MAX(N1665-M1665,0),IF(TODAY()&gt;M1665,TODAY()-M1665,0)))</f>
        <v>153</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0">
        <v>45806</v>
      </c>
      <c r="D1666" s="120" t="str">
        <f>VLOOKUP(B1666,辅助信息!E:K,7,FALSE)</f>
        <v>JWDDCD2025051800046</v>
      </c>
      <c r="E1666" s="120" t="str">
        <f>VLOOKUP(F1666,辅助信息!A:B,2,FALSE)</f>
        <v>盘螺</v>
      </c>
      <c r="F1666" s="40" t="s">
        <v>41</v>
      </c>
      <c r="G1666" s="36">
        <v>15</v>
      </c>
      <c r="H1666" s="121">
        <f>_xlfn.XLOOKUP(C1666&amp;F1666&amp;I1666&amp;J1666,'[1]2025年已发货'!$F:$F&amp;'[1]2025年已发货'!$C:$C&amp;'[1]2025年已发货'!$G:$G&amp;'[1]2025年已发货'!$H:$H,'[1]2025年已发货'!$E:$E,"未发货")</f>
        <v>15</v>
      </c>
      <c r="I1666" s="120" t="str">
        <f>VLOOKUP(B1666,辅助信息!E:I,3,FALSE)</f>
        <v>（华西萌海科创农业生态谷）成都市简阳市白金山水库</v>
      </c>
      <c r="J1666" s="120" t="str">
        <f>VLOOKUP(B1666,辅助信息!E:I,4,FALSE)</f>
        <v>石清国</v>
      </c>
      <c r="K1666" s="120">
        <f>VLOOKUP(J1666,辅助信息!H:I,2,FALSE)</f>
        <v>13458642015</v>
      </c>
      <c r="L1666" s="122" t="str">
        <f>VLOOKUP(B1666,辅助信息!E:J,6,FALSE)</f>
        <v>优先威钢,我方卸车,新老国标钢厂不加价可直发</v>
      </c>
      <c r="M1666" s="91">
        <v>45807</v>
      </c>
      <c r="O1666" s="62">
        <f ca="1" t="shared" si="91"/>
        <v>0</v>
      </c>
      <c r="P1666" s="62">
        <f ca="1" t="shared" si="92"/>
        <v>153</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0">
        <v>45806</v>
      </c>
      <c r="D1667" s="120" t="str">
        <f>VLOOKUP(B1667,辅助信息!E:K,7,FALSE)</f>
        <v>JWDDCD2025051800046</v>
      </c>
      <c r="E1667" s="120" t="str">
        <f>VLOOKUP(F1667,辅助信息!A:B,2,FALSE)</f>
        <v>螺纹钢</v>
      </c>
      <c r="F1667" s="40" t="s">
        <v>27</v>
      </c>
      <c r="G1667" s="36">
        <v>5</v>
      </c>
      <c r="H1667" s="121">
        <f>_xlfn.XLOOKUP(C1667&amp;F1667&amp;I1667&amp;J1667,'[1]2025年已发货'!$F:$F&amp;'[1]2025年已发货'!$C:$C&amp;'[1]2025年已发货'!$G:$G&amp;'[1]2025年已发货'!$H:$H,'[1]2025年已发货'!$E:$E,"未发货")</f>
        <v>5</v>
      </c>
      <c r="I1667" s="120" t="str">
        <f>VLOOKUP(B1667,辅助信息!E:I,3,FALSE)</f>
        <v>（华西萌海科创农业生态谷）成都市简阳市白金山水库</v>
      </c>
      <c r="J1667" s="120" t="str">
        <f>VLOOKUP(B1667,辅助信息!E:I,4,FALSE)</f>
        <v>石清国</v>
      </c>
      <c r="K1667" s="120">
        <f>VLOOKUP(J1667,辅助信息!H:I,2,FALSE)</f>
        <v>13458642015</v>
      </c>
      <c r="L1667" s="122" t="str">
        <f>VLOOKUP(B1667,辅助信息!E:J,6,FALSE)</f>
        <v>优先威钢,我方卸车,新老国标钢厂不加价可直发</v>
      </c>
      <c r="M1667" s="91">
        <v>45807</v>
      </c>
      <c r="O1667" s="62">
        <f ca="1" t="shared" si="91"/>
        <v>0</v>
      </c>
      <c r="P1667" s="62">
        <f ca="1" t="shared" si="92"/>
        <v>153</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0">
        <v>45806</v>
      </c>
      <c r="D1668" s="120" t="str">
        <f>VLOOKUP(B1668,辅助信息!E:K,7,FALSE)</f>
        <v>JWDDCD2025051800046</v>
      </c>
      <c r="E1668" s="120" t="str">
        <f>VLOOKUP(F1668,辅助信息!A:B,2,FALSE)</f>
        <v>螺纹钢</v>
      </c>
      <c r="F1668" s="40" t="s">
        <v>19</v>
      </c>
      <c r="G1668" s="36">
        <v>3</v>
      </c>
      <c r="H1668" s="121">
        <f>_xlfn.XLOOKUP(C1668&amp;F1668&amp;I1668&amp;J1668,'[1]2025年已发货'!$F:$F&amp;'[1]2025年已发货'!$C:$C&amp;'[1]2025年已发货'!$G:$G&amp;'[1]2025年已发货'!$H:$H,'[1]2025年已发货'!$E:$E,"未发货")</f>
        <v>3</v>
      </c>
      <c r="I1668" s="120" t="str">
        <f>VLOOKUP(B1668,辅助信息!E:I,3,FALSE)</f>
        <v>（华西萌海科创农业生态谷）成都市简阳市白金山水库</v>
      </c>
      <c r="J1668" s="120" t="str">
        <f>VLOOKUP(B1668,辅助信息!E:I,4,FALSE)</f>
        <v>石清国</v>
      </c>
      <c r="K1668" s="120">
        <f>VLOOKUP(J1668,辅助信息!H:I,2,FALSE)</f>
        <v>13458642015</v>
      </c>
      <c r="L1668" s="122" t="str">
        <f>VLOOKUP(B1668,辅助信息!E:J,6,FALSE)</f>
        <v>优先威钢,我方卸车,新老国标钢厂不加价可直发</v>
      </c>
      <c r="M1668" s="91">
        <v>45807</v>
      </c>
      <c r="O1668" s="62">
        <f ca="1" t="shared" si="91"/>
        <v>0</v>
      </c>
      <c r="P1668" s="62">
        <f ca="1" t="shared" si="92"/>
        <v>153</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0">
        <v>45806</v>
      </c>
      <c r="D1669" s="120" t="str">
        <f>VLOOKUP(B1669,辅助信息!E:K,7,FALSE)</f>
        <v>JWDDCD2025051800046</v>
      </c>
      <c r="E1669" s="120" t="str">
        <f>VLOOKUP(F1669,辅助信息!A:B,2,FALSE)</f>
        <v>螺纹钢</v>
      </c>
      <c r="F1669" s="40" t="s">
        <v>82</v>
      </c>
      <c r="G1669" s="36">
        <v>3</v>
      </c>
      <c r="H1669" s="121">
        <f>_xlfn.XLOOKUP(C1669&amp;F1669&amp;I1669&amp;J1669,'[1]2025年已发货'!$F:$F&amp;'[1]2025年已发货'!$C:$C&amp;'[1]2025年已发货'!$G:$G&amp;'[1]2025年已发货'!$H:$H,'[1]2025年已发货'!$E:$E,"未发货")</f>
        <v>3</v>
      </c>
      <c r="I1669" s="120" t="str">
        <f>VLOOKUP(B1669,辅助信息!E:I,3,FALSE)</f>
        <v>（华西萌海科创农业生态谷）成都市简阳市白金山水库</v>
      </c>
      <c r="J1669" s="120" t="str">
        <f>VLOOKUP(B1669,辅助信息!E:I,4,FALSE)</f>
        <v>石清国</v>
      </c>
      <c r="K1669" s="120">
        <f>VLOOKUP(J1669,辅助信息!H:I,2,FALSE)</f>
        <v>13458642015</v>
      </c>
      <c r="L1669" s="122" t="str">
        <f>VLOOKUP(B1669,辅助信息!E:J,6,FALSE)</f>
        <v>优先威钢,我方卸车,新老国标钢厂不加价可直发</v>
      </c>
      <c r="M1669" s="91">
        <v>45807</v>
      </c>
      <c r="O1669" s="62">
        <f ca="1" t="shared" si="91"/>
        <v>0</v>
      </c>
      <c r="P1669" s="62">
        <f ca="1" t="shared" si="92"/>
        <v>153</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0">
        <v>45806</v>
      </c>
      <c r="D1670" s="120" t="str">
        <f>VLOOKUP(B1670,辅助信息!E:K,7,FALSE)</f>
        <v>JWDDCD2025051800046</v>
      </c>
      <c r="E1670" s="120" t="str">
        <f>VLOOKUP(F1670,辅助信息!A:B,2,FALSE)</f>
        <v>螺纹钢</v>
      </c>
      <c r="F1670" s="40" t="s">
        <v>45</v>
      </c>
      <c r="G1670" s="36">
        <v>3</v>
      </c>
      <c r="H1670" s="121">
        <f>_xlfn.XLOOKUP(C1670&amp;F1670&amp;I1670&amp;J1670,'[1]2025年已发货'!$F:$F&amp;'[1]2025年已发货'!$C:$C&amp;'[1]2025年已发货'!$G:$G&amp;'[1]2025年已发货'!$H:$H,'[1]2025年已发货'!$E:$E,"未发货")</f>
        <v>3</v>
      </c>
      <c r="I1670" s="120" t="str">
        <f>VLOOKUP(B1670,辅助信息!E:I,3,FALSE)</f>
        <v>（华西萌海科创农业生态谷）成都市简阳市白金山水库</v>
      </c>
      <c r="J1670" s="120" t="str">
        <f>VLOOKUP(B1670,辅助信息!E:I,4,FALSE)</f>
        <v>石清国</v>
      </c>
      <c r="K1670" s="120">
        <f>VLOOKUP(J1670,辅助信息!H:I,2,FALSE)</f>
        <v>13458642015</v>
      </c>
      <c r="L1670" s="122" t="str">
        <f>VLOOKUP(B1670,辅助信息!E:J,6,FALSE)</f>
        <v>优先威钢,我方卸车,新老国标钢厂不加价可直发</v>
      </c>
      <c r="M1670" s="91">
        <v>45807</v>
      </c>
      <c r="O1670" s="62">
        <f ca="1" t="shared" si="91"/>
        <v>0</v>
      </c>
      <c r="P1670" s="62">
        <f ca="1" t="shared" si="92"/>
        <v>153</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0">
        <v>45806</v>
      </c>
      <c r="D1671" s="120" t="str">
        <f>VLOOKUP(B1671,辅助信息!E:K,7,FALSE)</f>
        <v>JWDDCD2025051800046</v>
      </c>
      <c r="E1671" s="120" t="str">
        <f>VLOOKUP(F1671,辅助信息!A:B,2,FALSE)</f>
        <v>螺纹钢</v>
      </c>
      <c r="F1671" s="40" t="s">
        <v>58</v>
      </c>
      <c r="G1671" s="36">
        <v>3</v>
      </c>
      <c r="H1671" s="121">
        <f>_xlfn.XLOOKUP(C1671&amp;F1671&amp;I1671&amp;J1671,'[1]2025年已发货'!$F:$F&amp;'[1]2025年已发货'!$C:$C&amp;'[1]2025年已发货'!$G:$G&amp;'[1]2025年已发货'!$H:$H,'[1]2025年已发货'!$E:$E,"未发货")</f>
        <v>3</v>
      </c>
      <c r="I1671" s="120" t="str">
        <f>VLOOKUP(B1671,辅助信息!E:I,3,FALSE)</f>
        <v>（华西萌海科创农业生态谷）成都市简阳市白金山水库</v>
      </c>
      <c r="J1671" s="120" t="str">
        <f>VLOOKUP(B1671,辅助信息!E:I,4,FALSE)</f>
        <v>石清国</v>
      </c>
      <c r="K1671" s="120">
        <f>VLOOKUP(J1671,辅助信息!H:I,2,FALSE)</f>
        <v>13458642015</v>
      </c>
      <c r="L1671" s="122" t="str">
        <f>VLOOKUP(B1671,辅助信息!E:J,6,FALSE)</f>
        <v>优先威钢,我方卸车,新老国标钢厂不加价可直发</v>
      </c>
      <c r="M1671" s="91">
        <v>45807</v>
      </c>
      <c r="O1671" s="62">
        <f ca="1" t="shared" si="91"/>
        <v>0</v>
      </c>
      <c r="P1671" s="62">
        <f ca="1" t="shared" si="92"/>
        <v>153</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0">
        <v>45806</v>
      </c>
      <c r="D1672" s="120" t="str">
        <f>VLOOKUP(B1672,辅助信息!E:K,7,FALSE)</f>
        <v>JWDDCD2025051800046</v>
      </c>
      <c r="E1672" s="120" t="str">
        <f>VLOOKUP(F1672,辅助信息!A:B,2,FALSE)</f>
        <v>螺纹钢</v>
      </c>
      <c r="F1672" s="40" t="s">
        <v>22</v>
      </c>
      <c r="G1672" s="36">
        <v>26</v>
      </c>
      <c r="H1672" s="121">
        <f>_xlfn.XLOOKUP(C1672&amp;F1672&amp;I1672&amp;J1672,'[1]2025年已发货'!$F:$F&amp;'[1]2025年已发货'!$C:$C&amp;'[1]2025年已发货'!$G:$G&amp;'[1]2025年已发货'!$H:$H,'[1]2025年已发货'!$E:$E,"未发货")</f>
        <v>26</v>
      </c>
      <c r="I1672" s="120" t="str">
        <f>VLOOKUP(B1672,辅助信息!E:I,3,FALSE)</f>
        <v>（华西萌海科创农业生态谷）成都市简阳市白金山水库</v>
      </c>
      <c r="J1672" s="120" t="str">
        <f>VLOOKUP(B1672,辅助信息!E:I,4,FALSE)</f>
        <v>石清国</v>
      </c>
      <c r="K1672" s="120">
        <f>VLOOKUP(J1672,辅助信息!H:I,2,FALSE)</f>
        <v>13458642015</v>
      </c>
      <c r="L1672" s="122" t="str">
        <f>VLOOKUP(B1672,辅助信息!E:J,6,FALSE)</f>
        <v>优先威钢,我方卸车,新老国标钢厂不加价可直发</v>
      </c>
      <c r="M1672" s="91">
        <v>45807</v>
      </c>
      <c r="O1672" s="62">
        <f ca="1" t="shared" si="91"/>
        <v>0</v>
      </c>
      <c r="P1672" s="62">
        <f ca="1" t="shared" si="92"/>
        <v>153</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0">
        <v>45806</v>
      </c>
      <c r="D1673" s="120" t="str">
        <f>VLOOKUP(B1673,辅助信息!E:K,7,FALSE)</f>
        <v>JWDDCD2025052800131</v>
      </c>
      <c r="E1673" s="120" t="str">
        <f>VLOOKUP(F1673,辅助信息!A:B,2,FALSE)</f>
        <v>螺纹钢</v>
      </c>
      <c r="F1673" s="40" t="s">
        <v>66</v>
      </c>
      <c r="G1673" s="36">
        <v>6</v>
      </c>
      <c r="H1673" s="121">
        <f>_xlfn.XLOOKUP(C1673&amp;F1673&amp;I1673&amp;J1673,'[1]2025年已发货'!$F:$F&amp;'[1]2025年已发货'!$C:$C&amp;'[1]2025年已发货'!$G:$G&amp;'[1]2025年已发货'!$H:$H,'[1]2025年已发货'!$E:$E,"未发货")</f>
        <v>6</v>
      </c>
      <c r="I1673" s="120" t="str">
        <f>VLOOKUP(B1673,辅助信息!E:I,3,FALSE)</f>
        <v>（商投建工达州中医药科技园-4工区-7号楼）达州市通川区达州中医药职业学院犀牛大道北段</v>
      </c>
      <c r="J1673" s="120" t="str">
        <f>VLOOKUP(B1673,辅助信息!E:I,4,FALSE)</f>
        <v>张扬</v>
      </c>
      <c r="K1673" s="120">
        <f>VLOOKUP(J1673,辅助信息!H:I,2,FALSE)</f>
        <v>18381904567</v>
      </c>
      <c r="L1673" s="122" t="str">
        <f>VLOOKUP(B1673,辅助信息!E:J,6,FALSE)</f>
        <v>控制炉批号！多了现场不收！,优先安排达钢,提前联系到场规格及数量</v>
      </c>
      <c r="M1673" s="91">
        <v>45807</v>
      </c>
      <c r="O1673" s="62">
        <f ca="1" t="shared" si="91"/>
        <v>0</v>
      </c>
      <c r="P1673" s="62">
        <f ca="1" t="shared" si="92"/>
        <v>153</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0">
        <v>45806</v>
      </c>
      <c r="D1674" s="120" t="str">
        <f>VLOOKUP(B1674,辅助信息!E:K,7,FALSE)</f>
        <v>JWDDCD2025052800131</v>
      </c>
      <c r="E1674" s="120" t="str">
        <f>VLOOKUP(F1674,辅助信息!A:B,2,FALSE)</f>
        <v>螺纹钢</v>
      </c>
      <c r="F1674" s="40" t="s">
        <v>45</v>
      </c>
      <c r="G1674" s="36">
        <v>9</v>
      </c>
      <c r="H1674" s="121">
        <f>_xlfn.XLOOKUP(C1674&amp;F1674&amp;I1674&amp;J1674,'[1]2025年已发货'!$F:$F&amp;'[1]2025年已发货'!$C:$C&amp;'[1]2025年已发货'!$G:$G&amp;'[1]2025年已发货'!$H:$H,'[1]2025年已发货'!$E:$E,"未发货")</f>
        <v>9</v>
      </c>
      <c r="I1674" s="120" t="str">
        <f>VLOOKUP(B1674,辅助信息!E:I,3,FALSE)</f>
        <v>（商投建工达州中医药科技园-4工区-7号楼）达州市通川区达州中医药职业学院犀牛大道北段</v>
      </c>
      <c r="J1674" s="120" t="str">
        <f>VLOOKUP(B1674,辅助信息!E:I,4,FALSE)</f>
        <v>张扬</v>
      </c>
      <c r="K1674" s="120">
        <f>VLOOKUP(J1674,辅助信息!H:I,2,FALSE)</f>
        <v>18381904567</v>
      </c>
      <c r="L1674" s="122" t="str">
        <f>VLOOKUP(B1674,辅助信息!E:J,6,FALSE)</f>
        <v>控制炉批号！多了现场不收！,优先安排达钢,提前联系到场规格及数量</v>
      </c>
      <c r="M1674" s="91">
        <v>45807</v>
      </c>
      <c r="O1674" s="62">
        <f ca="1" t="shared" si="91"/>
        <v>0</v>
      </c>
      <c r="P1674" s="62">
        <f ca="1" t="shared" si="92"/>
        <v>153</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0">
        <v>45806</v>
      </c>
      <c r="D1675" s="120" t="str">
        <f>VLOOKUP(B1675,辅助信息!E:K,7,FALSE)</f>
        <v>JWDDCD2025052800131</v>
      </c>
      <c r="E1675" s="120" t="str">
        <f>VLOOKUP(F1675,辅助信息!A:B,2,FALSE)</f>
        <v>螺纹钢</v>
      </c>
      <c r="F1675" s="40" t="s">
        <v>58</v>
      </c>
      <c r="G1675" s="36">
        <v>12</v>
      </c>
      <c r="H1675" s="121">
        <f>_xlfn.XLOOKUP(C1675&amp;F1675&amp;I1675&amp;J1675,'[1]2025年已发货'!$F:$F&amp;'[1]2025年已发货'!$C:$C&amp;'[1]2025年已发货'!$G:$G&amp;'[1]2025年已发货'!$H:$H,'[1]2025年已发货'!$E:$E,"未发货")</f>
        <v>12</v>
      </c>
      <c r="I1675" s="120" t="str">
        <f>VLOOKUP(B1675,辅助信息!E:I,3,FALSE)</f>
        <v>（商投建工达州中医药科技园-4工区-7号楼）达州市通川区达州中医药职业学院犀牛大道北段</v>
      </c>
      <c r="J1675" s="120" t="str">
        <f>VLOOKUP(B1675,辅助信息!E:I,4,FALSE)</f>
        <v>张扬</v>
      </c>
      <c r="K1675" s="120">
        <f>VLOOKUP(J1675,辅助信息!H:I,2,FALSE)</f>
        <v>18381904567</v>
      </c>
      <c r="L1675" s="122" t="str">
        <f>VLOOKUP(B1675,辅助信息!E:J,6,FALSE)</f>
        <v>控制炉批号！多了现场不收！,优先安排达钢,提前联系到场规格及数量</v>
      </c>
      <c r="M1675" s="91">
        <v>45807</v>
      </c>
      <c r="O1675" s="62">
        <f ca="1" t="shared" si="91"/>
        <v>0</v>
      </c>
      <c r="P1675" s="62">
        <f ca="1" t="shared" si="92"/>
        <v>153</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0">
        <v>45806</v>
      </c>
      <c r="D1676" s="120" t="str">
        <f>VLOOKUP(B1676,辅助信息!E:K,7,FALSE)</f>
        <v>JWDDCD2025052800131</v>
      </c>
      <c r="E1676" s="120" t="str">
        <f>VLOOKUP(F1676,辅助信息!A:B,2,FALSE)</f>
        <v>螺纹钢</v>
      </c>
      <c r="F1676" s="40" t="s">
        <v>22</v>
      </c>
      <c r="G1676" s="36">
        <v>9</v>
      </c>
      <c r="H1676" s="121">
        <f>_xlfn.XLOOKUP(C1676&amp;F1676&amp;I1676&amp;J1676,'[1]2025年已发货'!$F:$F&amp;'[1]2025年已发货'!$C:$C&amp;'[1]2025年已发货'!$G:$G&amp;'[1]2025年已发货'!$H:$H,'[1]2025年已发货'!$E:$E,"未发货")</f>
        <v>9</v>
      </c>
      <c r="I1676" s="120" t="str">
        <f>VLOOKUP(B1676,辅助信息!E:I,3,FALSE)</f>
        <v>（商投建工达州中医药科技园-4工区-7号楼）达州市通川区达州中医药职业学院犀牛大道北段</v>
      </c>
      <c r="J1676" s="120" t="str">
        <f>VLOOKUP(B1676,辅助信息!E:I,4,FALSE)</f>
        <v>张扬</v>
      </c>
      <c r="K1676" s="120">
        <f>VLOOKUP(J1676,辅助信息!H:I,2,FALSE)</f>
        <v>18381904567</v>
      </c>
      <c r="L1676" s="122" t="str">
        <f>VLOOKUP(B1676,辅助信息!E:J,6,FALSE)</f>
        <v>控制炉批号！多了现场不收！,优先安排达钢,提前联系到场规格及数量</v>
      </c>
      <c r="M1676" s="91">
        <v>45807</v>
      </c>
      <c r="O1676" s="62">
        <f ca="1" t="shared" si="91"/>
        <v>0</v>
      </c>
      <c r="P1676" s="62">
        <f ca="1" t="shared" si="92"/>
        <v>153</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0" t="s">
        <v>81</v>
      </c>
      <c r="C1677" s="70">
        <v>45806</v>
      </c>
      <c r="D1677" s="120" t="str">
        <f>VLOOKUP(B1677,辅助信息!E:K,7,FALSE)</f>
        <v>JWDDCD2025060900080</v>
      </c>
      <c r="E1677" s="120" t="str">
        <f>VLOOKUP(F1677,辅助信息!A:B,2,FALSE)</f>
        <v>盘螺</v>
      </c>
      <c r="F1677" s="120" t="s">
        <v>49</v>
      </c>
      <c r="G1677" s="121">
        <v>3</v>
      </c>
      <c r="H1677" s="121">
        <f>_xlfn.XLOOKUP(C1677&amp;F1677&amp;I1677&amp;J1677,'[1]2025年已发货'!$F:$F&amp;'[1]2025年已发货'!$C:$C&amp;'[1]2025年已发货'!$G:$G&amp;'[1]2025年已发货'!$H:$H,'[1]2025年已发货'!$E:$E,"未发货")</f>
        <v>2</v>
      </c>
      <c r="I1677" s="120" t="str">
        <f>VLOOKUP(B1677,辅助信息!E:I,3,FALSE)</f>
        <v>（华西简阳西城嘉苑）四川省成都市简阳市简城街道高屋村</v>
      </c>
      <c r="J1677" s="120" t="str">
        <f>VLOOKUP(B1677,辅助信息!E:I,4,FALSE)</f>
        <v>张瀚镭</v>
      </c>
      <c r="K1677" s="120">
        <f>VLOOKUP(J1677,辅助信息!H:I,2,FALSE)</f>
        <v>15884666220</v>
      </c>
      <c r="L1677" s="122" t="str">
        <f>VLOOKUP(B1677,辅助信息!E:J,6,FALSE)</f>
        <v>现场禁止使用氢能源挂车！优先威钢发货,我方卸车,新老国标钢厂不加价可直发，因陕钢多次出现磅差，项目拒绝使用</v>
      </c>
      <c r="M1677" s="91">
        <v>45807</v>
      </c>
      <c r="O1677" s="62">
        <f ca="1" t="shared" si="91"/>
        <v>0</v>
      </c>
      <c r="P1677" s="62">
        <f ca="1" t="shared" si="92"/>
        <v>153</v>
      </c>
      <c r="Q1677" s="29" t="str">
        <f>VLOOKUP(B1677,辅助信息!E:M,9,FALSE)</f>
        <v>ZTWM-CDGS-XS-2024-0030-华西集采-简州大道</v>
      </c>
    </row>
    <row r="1678" hidden="1" spans="2:17">
      <c r="B1678" s="120" t="s">
        <v>81</v>
      </c>
      <c r="C1678" s="70">
        <v>45806</v>
      </c>
      <c r="D1678" s="120" t="str">
        <f>VLOOKUP(B1678,辅助信息!E:K,7,FALSE)</f>
        <v>JWDDCD2025060900080</v>
      </c>
      <c r="E1678" s="120" t="str">
        <f>VLOOKUP(F1678,辅助信息!A:B,2,FALSE)</f>
        <v>盘螺</v>
      </c>
      <c r="F1678" s="120" t="s">
        <v>40</v>
      </c>
      <c r="G1678" s="121">
        <v>14</v>
      </c>
      <c r="H1678" s="121">
        <f>_xlfn.XLOOKUP(C1678&amp;F1678&amp;I1678&amp;J1678,'[1]2025年已发货'!$F:$F&amp;'[1]2025年已发货'!$C:$C&amp;'[1]2025年已发货'!$G:$G&amp;'[1]2025年已发货'!$H:$H,'[1]2025年已发货'!$E:$E,"未发货")</f>
        <v>15</v>
      </c>
      <c r="I1678" s="120" t="str">
        <f>VLOOKUP(B1678,辅助信息!E:I,3,FALSE)</f>
        <v>（华西简阳西城嘉苑）四川省成都市简阳市简城街道高屋村</v>
      </c>
      <c r="J1678" s="120" t="str">
        <f>VLOOKUP(B1678,辅助信息!E:I,4,FALSE)</f>
        <v>张瀚镭</v>
      </c>
      <c r="K1678" s="120">
        <f>VLOOKUP(J1678,辅助信息!H:I,2,FALSE)</f>
        <v>15884666220</v>
      </c>
      <c r="L1678" s="122" t="str">
        <f>VLOOKUP(B1678,辅助信息!E:J,6,FALSE)</f>
        <v>现场禁止使用氢能源挂车！优先威钢发货,我方卸车,新老国标钢厂不加价可直发，因陕钢多次出现磅差，项目拒绝使用</v>
      </c>
      <c r="M1678" s="91">
        <v>45807</v>
      </c>
      <c r="O1678" s="62">
        <f ca="1" t="shared" si="91"/>
        <v>0</v>
      </c>
      <c r="P1678" s="62">
        <f ca="1" t="shared" si="92"/>
        <v>153</v>
      </c>
      <c r="Q1678" s="29" t="str">
        <f>VLOOKUP(B1678,辅助信息!E:M,9,FALSE)</f>
        <v>ZTWM-CDGS-XS-2024-0030-华西集采-简州大道</v>
      </c>
    </row>
    <row r="1679" hidden="1" spans="2:17">
      <c r="B1679" s="120" t="s">
        <v>81</v>
      </c>
      <c r="C1679" s="70">
        <v>45806</v>
      </c>
      <c r="D1679" s="120" t="str">
        <f>VLOOKUP(B1679,辅助信息!E:K,7,FALSE)</f>
        <v>JWDDCD2025060900080</v>
      </c>
      <c r="E1679" s="120" t="str">
        <f>VLOOKUP(F1679,辅助信息!A:B,2,FALSE)</f>
        <v>盘螺</v>
      </c>
      <c r="F1679" s="120" t="s">
        <v>41</v>
      </c>
      <c r="G1679" s="121">
        <v>30</v>
      </c>
      <c r="H1679" s="121">
        <f>_xlfn.XLOOKUP(C1679&amp;F1679&amp;I1679&amp;J1679,'[1]2025年已发货'!$F:$F&amp;'[1]2025年已发货'!$C:$C&amp;'[1]2025年已发货'!$G:$G&amp;'[1]2025年已发货'!$H:$H,'[1]2025年已发货'!$E:$E,"未发货")</f>
        <v>30</v>
      </c>
      <c r="I1679" s="120" t="str">
        <f>VLOOKUP(B1679,辅助信息!E:I,3,FALSE)</f>
        <v>（华西简阳西城嘉苑）四川省成都市简阳市简城街道高屋村</v>
      </c>
      <c r="J1679" s="120" t="str">
        <f>VLOOKUP(B1679,辅助信息!E:I,4,FALSE)</f>
        <v>张瀚镭</v>
      </c>
      <c r="K1679" s="120">
        <f>VLOOKUP(J1679,辅助信息!H:I,2,FALSE)</f>
        <v>15884666220</v>
      </c>
      <c r="L1679" s="122" t="str">
        <f>VLOOKUP(B1679,辅助信息!E:J,6,FALSE)</f>
        <v>现场禁止使用氢能源挂车！优先威钢发货,我方卸车,新老国标钢厂不加价可直发，因陕钢多次出现磅差，项目拒绝使用</v>
      </c>
      <c r="M1679" s="91">
        <v>45807</v>
      </c>
      <c r="O1679" s="62">
        <f ca="1" t="shared" si="91"/>
        <v>0</v>
      </c>
      <c r="P1679" s="62">
        <f ca="1" t="shared" si="92"/>
        <v>153</v>
      </c>
      <c r="Q1679" s="29" t="str">
        <f>VLOOKUP(B1679,辅助信息!E:M,9,FALSE)</f>
        <v>ZTWM-CDGS-XS-2024-0030-华西集采-简州大道</v>
      </c>
    </row>
    <row r="1680" hidden="1" spans="2:17">
      <c r="B1680" s="120" t="s">
        <v>81</v>
      </c>
      <c r="C1680" s="70">
        <v>45806</v>
      </c>
      <c r="D1680" s="120" t="str">
        <f>VLOOKUP(B1680,辅助信息!E:K,7,FALSE)</f>
        <v>JWDDCD2025060900080</v>
      </c>
      <c r="E1680" s="120" t="str">
        <f>VLOOKUP(F1680,辅助信息!A:B,2,FALSE)</f>
        <v>盘螺</v>
      </c>
      <c r="F1680" s="120" t="s">
        <v>26</v>
      </c>
      <c r="G1680" s="121">
        <v>30</v>
      </c>
      <c r="H1680" s="121">
        <f>_xlfn.XLOOKUP(C1680&amp;F1680&amp;I1680&amp;J1680,'[1]2025年已发货'!$F:$F&amp;'[1]2025年已发货'!$C:$C&amp;'[1]2025年已发货'!$G:$G&amp;'[1]2025年已发货'!$H:$H,'[1]2025年已发货'!$E:$E,"未发货")</f>
        <v>30</v>
      </c>
      <c r="I1680" s="120" t="str">
        <f>VLOOKUP(B1680,辅助信息!E:I,3,FALSE)</f>
        <v>（华西简阳西城嘉苑）四川省成都市简阳市简城街道高屋村</v>
      </c>
      <c r="J1680" s="120" t="str">
        <f>VLOOKUP(B1680,辅助信息!E:I,4,FALSE)</f>
        <v>张瀚镭</v>
      </c>
      <c r="K1680" s="120">
        <f>VLOOKUP(J1680,辅助信息!H:I,2,FALSE)</f>
        <v>15884666220</v>
      </c>
      <c r="L1680" s="122" t="str">
        <f>VLOOKUP(B1680,辅助信息!E:J,6,FALSE)</f>
        <v>现场禁止使用氢能源挂车！优先威钢发货,我方卸车,新老国标钢厂不加价可直发，因陕钢多次出现磅差，项目拒绝使用</v>
      </c>
      <c r="M1680" s="91">
        <v>45807</v>
      </c>
      <c r="O1680" s="62">
        <f ca="1" t="shared" si="91"/>
        <v>0</v>
      </c>
      <c r="P1680" s="62">
        <f ca="1" t="shared" si="92"/>
        <v>153</v>
      </c>
      <c r="Q1680" s="29" t="str">
        <f>VLOOKUP(B1680,辅助信息!E:M,9,FALSE)</f>
        <v>ZTWM-CDGS-XS-2024-0030-华西集采-简州大道</v>
      </c>
    </row>
    <row r="1681" hidden="1" spans="2:17">
      <c r="B1681" s="120" t="s">
        <v>81</v>
      </c>
      <c r="C1681" s="70">
        <v>45806</v>
      </c>
      <c r="D1681" s="120" t="str">
        <f>VLOOKUP(B1681,辅助信息!E:K,7,FALSE)</f>
        <v>JWDDCD2025060900080</v>
      </c>
      <c r="E1681" s="120" t="str">
        <f>VLOOKUP(F1681,辅助信息!A:B,2,FALSE)</f>
        <v>螺纹钢</v>
      </c>
      <c r="F1681" s="120" t="s">
        <v>32</v>
      </c>
      <c r="G1681" s="121">
        <v>5</v>
      </c>
      <c r="H1681" s="121">
        <f>_xlfn.XLOOKUP(C1681&amp;F1681&amp;I1681&amp;J1681,'[1]2025年已发货'!$F:$F&amp;'[1]2025年已发货'!$C:$C&amp;'[1]2025年已发货'!$G:$G&amp;'[1]2025年已发货'!$H:$H,'[1]2025年已发货'!$E:$E,"未发货")</f>
        <v>6</v>
      </c>
      <c r="I1681" s="120" t="str">
        <f>VLOOKUP(B1681,辅助信息!E:I,3,FALSE)</f>
        <v>（华西简阳西城嘉苑）四川省成都市简阳市简城街道高屋村</v>
      </c>
      <c r="J1681" s="120" t="str">
        <f>VLOOKUP(B1681,辅助信息!E:I,4,FALSE)</f>
        <v>张瀚镭</v>
      </c>
      <c r="K1681" s="120">
        <f>VLOOKUP(J1681,辅助信息!H:I,2,FALSE)</f>
        <v>15884666220</v>
      </c>
      <c r="L1681" s="122" t="str">
        <f>VLOOKUP(B1681,辅助信息!E:J,6,FALSE)</f>
        <v>现场禁止使用氢能源挂车！优先威钢发货,我方卸车,新老国标钢厂不加价可直发，因陕钢多次出现磅差，项目拒绝使用</v>
      </c>
      <c r="M1681" s="91">
        <v>45807</v>
      </c>
      <c r="O1681" s="62">
        <f ca="1" t="shared" si="91"/>
        <v>0</v>
      </c>
      <c r="P1681" s="62">
        <f ca="1" t="shared" si="92"/>
        <v>153</v>
      </c>
      <c r="Q1681" s="29" t="str">
        <f>VLOOKUP(B1681,辅助信息!E:M,9,FALSE)</f>
        <v>ZTWM-CDGS-XS-2024-0030-华西集采-简州大道</v>
      </c>
    </row>
    <row r="1682" hidden="1" spans="2:17">
      <c r="B1682" s="120" t="s">
        <v>81</v>
      </c>
      <c r="C1682" s="70">
        <v>45806</v>
      </c>
      <c r="D1682" s="120" t="str">
        <f>VLOOKUP(B1682,辅助信息!E:K,7,FALSE)</f>
        <v>JWDDCD2025060900080</v>
      </c>
      <c r="E1682" s="120" t="str">
        <f>VLOOKUP(F1682,辅助信息!A:B,2,FALSE)</f>
        <v>螺纹钢</v>
      </c>
      <c r="F1682" s="120" t="s">
        <v>30</v>
      </c>
      <c r="G1682" s="121">
        <v>20</v>
      </c>
      <c r="H1682" s="121">
        <f>_xlfn.XLOOKUP(C1682&amp;F1682&amp;I1682&amp;J1682,'[1]2025年已发货'!$F:$F&amp;'[1]2025年已发货'!$C:$C&amp;'[1]2025年已发货'!$G:$G&amp;'[1]2025年已发货'!$H:$H,'[1]2025年已发货'!$E:$E,"未发货")</f>
        <v>21</v>
      </c>
      <c r="I1682" s="120" t="str">
        <f>VLOOKUP(B1682,辅助信息!E:I,3,FALSE)</f>
        <v>（华西简阳西城嘉苑）四川省成都市简阳市简城街道高屋村</v>
      </c>
      <c r="J1682" s="120" t="str">
        <f>VLOOKUP(B1682,辅助信息!E:I,4,FALSE)</f>
        <v>张瀚镭</v>
      </c>
      <c r="K1682" s="120">
        <f>VLOOKUP(J1682,辅助信息!H:I,2,FALSE)</f>
        <v>15884666220</v>
      </c>
      <c r="L1682" s="122" t="str">
        <f>VLOOKUP(B1682,辅助信息!E:J,6,FALSE)</f>
        <v>现场禁止使用氢能源挂车！优先威钢发货,我方卸车,新老国标钢厂不加价可直发，因陕钢多次出现磅差，项目拒绝使用</v>
      </c>
      <c r="M1682" s="91">
        <v>45807</v>
      </c>
      <c r="O1682" s="62">
        <f ca="1" t="shared" si="91"/>
        <v>0</v>
      </c>
      <c r="P1682" s="62">
        <f ca="1" t="shared" si="92"/>
        <v>153</v>
      </c>
      <c r="Q1682" s="29" t="str">
        <f>VLOOKUP(B1682,辅助信息!E:M,9,FALSE)</f>
        <v>ZTWM-CDGS-XS-2024-0030-华西集采-简州大道</v>
      </c>
    </row>
    <row r="1683" hidden="1" spans="2:17">
      <c r="B1683" s="120" t="s">
        <v>81</v>
      </c>
      <c r="C1683" s="70">
        <v>45806</v>
      </c>
      <c r="D1683" s="120" t="str">
        <f>VLOOKUP(B1683,辅助信息!E:K,7,FALSE)</f>
        <v>JWDDCD2025060900080</v>
      </c>
      <c r="E1683" s="120" t="str">
        <f>VLOOKUP(F1683,辅助信息!A:B,2,FALSE)</f>
        <v>螺纹钢</v>
      </c>
      <c r="F1683" s="120" t="s">
        <v>33</v>
      </c>
      <c r="G1683" s="121">
        <v>32</v>
      </c>
      <c r="H1683" s="121">
        <f>_xlfn.XLOOKUP(C1683&amp;F1683&amp;I1683&amp;J1683,'[1]2025年已发货'!$F:$F&amp;'[1]2025年已发货'!$C:$C&amp;'[1]2025年已发货'!$G:$G&amp;'[1]2025年已发货'!$H:$H,'[1]2025年已发货'!$E:$E,"未发货")</f>
        <v>33</v>
      </c>
      <c r="I1683" s="120" t="str">
        <f>VLOOKUP(B1683,辅助信息!E:I,3,FALSE)</f>
        <v>（华西简阳西城嘉苑）四川省成都市简阳市简城街道高屋村</v>
      </c>
      <c r="J1683" s="120" t="str">
        <f>VLOOKUP(B1683,辅助信息!E:I,4,FALSE)</f>
        <v>张瀚镭</v>
      </c>
      <c r="K1683" s="120">
        <f>VLOOKUP(J1683,辅助信息!H:I,2,FALSE)</f>
        <v>15884666220</v>
      </c>
      <c r="L1683" s="122" t="str">
        <f>VLOOKUP(B1683,辅助信息!E:J,6,FALSE)</f>
        <v>现场禁止使用氢能源挂车！优先威钢发货,我方卸车,新老国标钢厂不加价可直发，因陕钢多次出现磅差，项目拒绝使用</v>
      </c>
      <c r="M1683" s="91">
        <v>45807</v>
      </c>
      <c r="O1683" s="62">
        <f ca="1" t="shared" si="91"/>
        <v>0</v>
      </c>
      <c r="P1683" s="62">
        <f ca="1" t="shared" si="92"/>
        <v>153</v>
      </c>
      <c r="Q1683" s="29" t="str">
        <f>VLOOKUP(B1683,辅助信息!E:M,9,FALSE)</f>
        <v>ZTWM-CDGS-XS-2024-0030-华西集采-简州大道</v>
      </c>
    </row>
    <row r="1684" hidden="1" spans="2:17">
      <c r="B1684" s="120" t="s">
        <v>81</v>
      </c>
      <c r="C1684" s="70">
        <v>45806</v>
      </c>
      <c r="D1684" s="120" t="str">
        <f>VLOOKUP(B1684,辅助信息!E:K,7,FALSE)</f>
        <v>JWDDCD2025060900080</v>
      </c>
      <c r="E1684" s="120" t="str">
        <f>VLOOKUP(F1684,辅助信息!A:B,2,FALSE)</f>
        <v>螺纹钢</v>
      </c>
      <c r="F1684" s="120" t="s">
        <v>28</v>
      </c>
      <c r="G1684" s="121">
        <v>3</v>
      </c>
      <c r="H1684" s="121">
        <f>_xlfn.XLOOKUP(C1684&amp;F1684&amp;I1684&amp;J1684,'[1]2025年已发货'!$F:$F&amp;'[1]2025年已发货'!$C:$C&amp;'[1]2025年已发货'!$G:$G&amp;'[1]2025年已发货'!$H:$H,'[1]2025年已发货'!$E:$E,"未发货")</f>
        <v>3</v>
      </c>
      <c r="I1684" s="120" t="str">
        <f>VLOOKUP(B1684,辅助信息!E:I,3,FALSE)</f>
        <v>（华西简阳西城嘉苑）四川省成都市简阳市简城街道高屋村</v>
      </c>
      <c r="J1684" s="120" t="str">
        <f>VLOOKUP(B1684,辅助信息!E:I,4,FALSE)</f>
        <v>张瀚镭</v>
      </c>
      <c r="K1684" s="120">
        <f>VLOOKUP(J1684,辅助信息!H:I,2,FALSE)</f>
        <v>15884666220</v>
      </c>
      <c r="L1684" s="122" t="str">
        <f>VLOOKUP(B1684,辅助信息!E:J,6,FALSE)</f>
        <v>现场禁止使用氢能源挂车！优先威钢发货,我方卸车,新老国标钢厂不加价可直发，因陕钢多次出现磅差，项目拒绝使用</v>
      </c>
      <c r="M1684" s="91">
        <v>45807</v>
      </c>
      <c r="O1684" s="62">
        <f ca="1" t="shared" si="91"/>
        <v>0</v>
      </c>
      <c r="P1684" s="62">
        <f ca="1" t="shared" si="92"/>
        <v>153</v>
      </c>
      <c r="Q1684" s="29" t="str">
        <f>VLOOKUP(B1684,辅助信息!E:M,9,FALSE)</f>
        <v>ZTWM-CDGS-XS-2024-0030-华西集采-简州大道</v>
      </c>
    </row>
    <row r="1685" hidden="1" spans="2:17">
      <c r="B1685" s="120" t="s">
        <v>81</v>
      </c>
      <c r="C1685" s="70">
        <v>45806</v>
      </c>
      <c r="D1685" s="120" t="str">
        <f>VLOOKUP(B1685,辅助信息!E:K,7,FALSE)</f>
        <v>JWDDCD2025060900080</v>
      </c>
      <c r="E1685" s="120" t="str">
        <f>VLOOKUP(F1685,辅助信息!A:B,2,FALSE)</f>
        <v>螺纹钢</v>
      </c>
      <c r="F1685" s="120" t="s">
        <v>18</v>
      </c>
      <c r="G1685" s="121">
        <v>3</v>
      </c>
      <c r="H1685" s="121">
        <f>_xlfn.XLOOKUP(C1685&amp;F1685&amp;I1685&amp;J1685,'[1]2025年已发货'!$F:$F&amp;'[1]2025年已发货'!$C:$C&amp;'[1]2025年已发货'!$G:$G&amp;'[1]2025年已发货'!$H:$H,'[1]2025年已发货'!$E:$E,"未发货")</f>
        <v>3</v>
      </c>
      <c r="I1685" s="120" t="str">
        <f>VLOOKUP(B1685,辅助信息!E:I,3,FALSE)</f>
        <v>（华西简阳西城嘉苑）四川省成都市简阳市简城街道高屋村</v>
      </c>
      <c r="J1685" s="120" t="str">
        <f>VLOOKUP(B1685,辅助信息!E:I,4,FALSE)</f>
        <v>张瀚镭</v>
      </c>
      <c r="K1685" s="120">
        <f>VLOOKUP(J1685,辅助信息!H:I,2,FALSE)</f>
        <v>15884666220</v>
      </c>
      <c r="L1685" s="122" t="str">
        <f>VLOOKUP(B1685,辅助信息!E:J,6,FALSE)</f>
        <v>现场禁止使用氢能源挂车！优先威钢发货,我方卸车,新老国标钢厂不加价可直发，因陕钢多次出现磅差，项目拒绝使用</v>
      </c>
      <c r="M1685" s="91">
        <v>45807</v>
      </c>
      <c r="O1685" s="62">
        <f ca="1" t="shared" si="91"/>
        <v>0</v>
      </c>
      <c r="P1685" s="62">
        <f ca="1" t="shared" si="92"/>
        <v>153</v>
      </c>
      <c r="Q1685" s="29" t="str">
        <f>VLOOKUP(B1685,辅助信息!E:M,9,FALSE)</f>
        <v>ZTWM-CDGS-XS-2024-0030-华西集采-简州大道</v>
      </c>
    </row>
    <row r="1686" hidden="1" spans="2:18">
      <c r="B1686" s="40" t="s">
        <v>31</v>
      </c>
      <c r="C1686" s="70">
        <v>45810</v>
      </c>
      <c r="D1686" s="120" t="str">
        <f>VLOOKUP(B1686,辅助信息!E:K,7,FALSE)</f>
        <v>JWDDCD2024121000136</v>
      </c>
      <c r="E1686" s="120" t="str">
        <f>VLOOKUP(F1686,辅助信息!A:B,2,FALSE)</f>
        <v>盘螺</v>
      </c>
      <c r="F1686" s="40" t="s">
        <v>49</v>
      </c>
      <c r="G1686" s="36">
        <v>15</v>
      </c>
      <c r="H1686" s="121">
        <f>_xlfn.XLOOKUP(C1686&amp;F1686&amp;I1686&amp;J1686,'[1]2025年已发货'!$F:$F&amp;'[1]2025年已发货'!$C:$C&amp;'[1]2025年已发货'!$G:$G&amp;'[1]2025年已发货'!$H:$H,'[1]2025年已发货'!$E:$E,"未发货")</f>
        <v>15</v>
      </c>
      <c r="I1686" s="120" t="str">
        <f>VLOOKUP(B1686,辅助信息!E:I,3,FALSE)</f>
        <v>（四川商建-射洪城乡一体化项目）遂宁市射洪市忠新幼儿园北侧约220米新溪小区</v>
      </c>
      <c r="J1686" s="120" t="str">
        <f>VLOOKUP(B1686,辅助信息!E:I,4,FALSE)</f>
        <v>柏子刚</v>
      </c>
      <c r="K1686" s="120">
        <f>VLOOKUP(J1686,辅助信息!H:I,2,FALSE)</f>
        <v>15692885305</v>
      </c>
      <c r="L1686" s="122" t="str">
        <f>VLOOKUP(B1686,辅助信息!E:J,6,FALSE)</f>
        <v>提前联系到场规格及数量</v>
      </c>
      <c r="M1686" s="91">
        <v>45813</v>
      </c>
      <c r="O1686" s="62">
        <f ca="1" t="shared" ref="O1686:O1711" si="93">IF(OR(M1686="",N1686&lt;&gt;""),"",MAX(M1686-TODAY(),0))</f>
        <v>0</v>
      </c>
      <c r="P1686" s="62">
        <f ca="1" t="shared" ref="P1686:P1711" si="94">IF(M1686="","",IF(N1686&lt;&gt;"",MAX(N1686-M1686,0),IF(TODAY()&gt;M1686,TODAY()-M1686,0)))</f>
        <v>147</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0">
        <v>45810</v>
      </c>
      <c r="D1687" s="120" t="str">
        <f>VLOOKUP(B1687,辅助信息!E:K,7,FALSE)</f>
        <v>JWDDCD2024121000136</v>
      </c>
      <c r="E1687" s="120" t="str">
        <f>VLOOKUP(F1687,辅助信息!A:B,2,FALSE)</f>
        <v>螺纹钢</v>
      </c>
      <c r="F1687" s="40" t="s">
        <v>66</v>
      </c>
      <c r="G1687" s="36">
        <v>6</v>
      </c>
      <c r="H1687" s="121">
        <f>_xlfn.XLOOKUP(C1687&amp;F1687&amp;I1687&amp;J1687,'[1]2025年已发货'!$F:$F&amp;'[1]2025年已发货'!$C:$C&amp;'[1]2025年已发货'!$G:$G&amp;'[1]2025年已发货'!$H:$H,'[1]2025年已发货'!$E:$E,"未发货")</f>
        <v>6</v>
      </c>
      <c r="I1687" s="120" t="str">
        <f>VLOOKUP(B1687,辅助信息!E:I,3,FALSE)</f>
        <v>（四川商建-射洪城乡一体化项目）遂宁市射洪市忠新幼儿园北侧约220米新溪小区</v>
      </c>
      <c r="J1687" s="120" t="str">
        <f>VLOOKUP(B1687,辅助信息!E:I,4,FALSE)</f>
        <v>柏子刚</v>
      </c>
      <c r="K1687" s="120">
        <f>VLOOKUP(J1687,辅助信息!H:I,2,FALSE)</f>
        <v>15692885305</v>
      </c>
      <c r="L1687" s="122" t="str">
        <f>VLOOKUP(B1687,辅助信息!E:J,6,FALSE)</f>
        <v>提前联系到场规格及数量</v>
      </c>
      <c r="M1687" s="91">
        <v>45813</v>
      </c>
      <c r="O1687" s="62">
        <f ca="1" t="shared" si="93"/>
        <v>0</v>
      </c>
      <c r="P1687" s="62">
        <f ca="1" t="shared" si="94"/>
        <v>147</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0">
        <v>45810</v>
      </c>
      <c r="D1688" s="120" t="str">
        <f>VLOOKUP(B1688,辅助信息!E:K,7,FALSE)</f>
        <v>JWDDCD2024121000136</v>
      </c>
      <c r="E1688" s="120" t="str">
        <f>VLOOKUP(F1688,辅助信息!A:B,2,FALSE)</f>
        <v>螺纹钢</v>
      </c>
      <c r="F1688" s="40" t="s">
        <v>46</v>
      </c>
      <c r="G1688" s="36">
        <v>9</v>
      </c>
      <c r="H1688" s="121">
        <f>_xlfn.XLOOKUP(C1688&amp;F1688&amp;I1688&amp;J1688,'[1]2025年已发货'!$F:$F&amp;'[1]2025年已发货'!$C:$C&amp;'[1]2025年已发货'!$G:$G&amp;'[1]2025年已发货'!$H:$H,'[1]2025年已发货'!$E:$E,"未发货")</f>
        <v>9</v>
      </c>
      <c r="I1688" s="120" t="str">
        <f>VLOOKUP(B1688,辅助信息!E:I,3,FALSE)</f>
        <v>（四川商建-射洪城乡一体化项目）遂宁市射洪市忠新幼儿园北侧约220米新溪小区</v>
      </c>
      <c r="J1688" s="120" t="str">
        <f>VLOOKUP(B1688,辅助信息!E:I,4,FALSE)</f>
        <v>柏子刚</v>
      </c>
      <c r="K1688" s="120">
        <f>VLOOKUP(J1688,辅助信息!H:I,2,FALSE)</f>
        <v>15692885305</v>
      </c>
      <c r="L1688" s="122" t="str">
        <f>VLOOKUP(B1688,辅助信息!E:J,6,FALSE)</f>
        <v>提前联系到场规格及数量</v>
      </c>
      <c r="M1688" s="91">
        <v>45813</v>
      </c>
      <c r="O1688" s="62">
        <f ca="1" t="shared" si="93"/>
        <v>0</v>
      </c>
      <c r="P1688" s="62">
        <f ca="1" t="shared" si="94"/>
        <v>147</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0">
        <v>45810</v>
      </c>
      <c r="D1689" s="120" t="str">
        <f>VLOOKUP(B1689,辅助信息!E:K,7,FALSE)</f>
        <v>JWDDCD2024121000136</v>
      </c>
      <c r="E1689" s="120" t="str">
        <f>VLOOKUP(F1689,辅助信息!A:B,2,FALSE)</f>
        <v>螺纹钢</v>
      </c>
      <c r="F1689" s="40" t="s">
        <v>22</v>
      </c>
      <c r="G1689" s="36">
        <v>40</v>
      </c>
      <c r="H1689" s="121">
        <f>_xlfn.XLOOKUP(C1689&amp;F1689&amp;I1689&amp;J1689,'[1]2025年已发货'!$F:$F&amp;'[1]2025年已发货'!$C:$C&amp;'[1]2025年已发货'!$G:$G&amp;'[1]2025年已发货'!$H:$H,'[1]2025年已发货'!$E:$E,"未发货")</f>
        <v>40</v>
      </c>
      <c r="I1689" s="120" t="str">
        <f>VLOOKUP(B1689,辅助信息!E:I,3,FALSE)</f>
        <v>（四川商建-射洪城乡一体化项目）遂宁市射洪市忠新幼儿园北侧约220米新溪小区</v>
      </c>
      <c r="J1689" s="120" t="str">
        <f>VLOOKUP(B1689,辅助信息!E:I,4,FALSE)</f>
        <v>柏子刚</v>
      </c>
      <c r="K1689" s="120">
        <f>VLOOKUP(J1689,辅助信息!H:I,2,FALSE)</f>
        <v>15692885305</v>
      </c>
      <c r="L1689" s="122" t="str">
        <f>VLOOKUP(B1689,辅助信息!E:J,6,FALSE)</f>
        <v>提前联系到场规格及数量</v>
      </c>
      <c r="M1689" s="91">
        <v>45813</v>
      </c>
      <c r="O1689" s="62">
        <f ca="1" t="shared" si="93"/>
        <v>0</v>
      </c>
      <c r="P1689" s="62">
        <f ca="1" t="shared" si="94"/>
        <v>147</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0">
        <v>45810</v>
      </c>
      <c r="D1690" s="120" t="str">
        <f>VLOOKUP(B1690,辅助信息!E:K,7,FALSE)</f>
        <v>JWDDCD2025060900080</v>
      </c>
      <c r="E1690" s="120" t="str">
        <f>VLOOKUP(F1690,辅助信息!A:B,2,FALSE)</f>
        <v>高线</v>
      </c>
      <c r="F1690" s="40" t="s">
        <v>53</v>
      </c>
      <c r="G1690" s="36">
        <v>2</v>
      </c>
      <c r="H1690" s="121" t="str">
        <f>_xlfn.XLOOKUP(C1690&amp;F1690&amp;I1690&amp;J1690,'[1]2025年已发货'!$F:$F&amp;'[1]2025年已发货'!$C:$C&amp;'[1]2025年已发货'!$G:$G&amp;'[1]2025年已发货'!$H:$H,'[1]2025年已发货'!$E:$E,"未发货")</f>
        <v>未发货</v>
      </c>
      <c r="I1690" s="120" t="str">
        <f>VLOOKUP(B1690,辅助信息!E:I,3,FALSE)</f>
        <v>（华西简阳西城嘉苑）四川省成都市简阳市简城街道高屋村</v>
      </c>
      <c r="J1690" s="120" t="str">
        <f>VLOOKUP(B1690,辅助信息!E:I,4,FALSE)</f>
        <v>张瀚镭</v>
      </c>
      <c r="K1690" s="120">
        <f>VLOOKUP(J1690,辅助信息!H:I,2,FALSE)</f>
        <v>15884666220</v>
      </c>
      <c r="L1690" s="122" t="str">
        <f>VLOOKUP(B1690,辅助信息!E:J,6,FALSE)</f>
        <v>现场禁止使用氢能源挂车！优先威钢发货,我方卸车,新老国标钢厂不加价可直发，因陕钢多次出现磅差，项目拒绝使用</v>
      </c>
      <c r="M1690" s="91">
        <v>45811</v>
      </c>
      <c r="O1690" s="62">
        <f ca="1" t="shared" si="93"/>
        <v>0</v>
      </c>
      <c r="P1690" s="62">
        <f ca="1" t="shared" si="94"/>
        <v>149</v>
      </c>
      <c r="Q1690" s="29" t="str">
        <f>VLOOKUP(B1690,辅助信息!E:M,9,FALSE)</f>
        <v>ZTWM-CDGS-XS-2024-0030-华西集采-简州大道</v>
      </c>
      <c r="R1690" s="29" t="str">
        <f>_xlfn._xlws.FILTER(辅助信息!D:D,辅助信息!E:E=B1690)</f>
        <v>华西简阳西城嘉苑</v>
      </c>
    </row>
    <row r="1691" hidden="1" spans="2:18">
      <c r="B1691" s="40" t="s">
        <v>81</v>
      </c>
      <c r="C1691" s="70">
        <v>45810</v>
      </c>
      <c r="D1691" s="120" t="str">
        <f>VLOOKUP(B1691,辅助信息!E:K,7,FALSE)</f>
        <v>JWDDCD2025060900080</v>
      </c>
      <c r="E1691" s="120" t="str">
        <f>VLOOKUP(F1691,辅助信息!A:B,2,FALSE)</f>
        <v>盘螺</v>
      </c>
      <c r="F1691" s="40" t="s">
        <v>49</v>
      </c>
      <c r="G1691" s="36">
        <v>4.5</v>
      </c>
      <c r="H1691" s="121" t="str">
        <f>_xlfn.XLOOKUP(C1691&amp;F1691&amp;I1691&amp;J1691,'[1]2025年已发货'!$F:$F&amp;'[1]2025年已发货'!$C:$C&amp;'[1]2025年已发货'!$G:$G&amp;'[1]2025年已发货'!$H:$H,'[1]2025年已发货'!$E:$E,"未发货")</f>
        <v>未发货</v>
      </c>
      <c r="I1691" s="120" t="str">
        <f>VLOOKUP(B1691,辅助信息!E:I,3,FALSE)</f>
        <v>（华西简阳西城嘉苑）四川省成都市简阳市简城街道高屋村</v>
      </c>
      <c r="J1691" s="120" t="str">
        <f>VLOOKUP(B1691,辅助信息!E:I,4,FALSE)</f>
        <v>张瀚镭</v>
      </c>
      <c r="K1691" s="120">
        <f>VLOOKUP(J1691,辅助信息!H:I,2,FALSE)</f>
        <v>15884666220</v>
      </c>
      <c r="L1691" s="122" t="str">
        <f>VLOOKUP(B1691,辅助信息!E:J,6,FALSE)</f>
        <v>现场禁止使用氢能源挂车！优先威钢发货,我方卸车,新老国标钢厂不加价可直发，因陕钢多次出现磅差，项目拒绝使用</v>
      </c>
      <c r="M1691" s="91">
        <v>45811</v>
      </c>
      <c r="O1691" s="62">
        <f ca="1" t="shared" si="93"/>
        <v>0</v>
      </c>
      <c r="P1691" s="62">
        <f ca="1" t="shared" si="94"/>
        <v>149</v>
      </c>
      <c r="Q1691" s="29" t="str">
        <f>VLOOKUP(B1691,辅助信息!E:M,9,FALSE)</f>
        <v>ZTWM-CDGS-XS-2024-0030-华西集采-简州大道</v>
      </c>
      <c r="R1691" s="29" t="str">
        <f>_xlfn._xlws.FILTER(辅助信息!D:D,辅助信息!E:E=B1691)</f>
        <v>华西简阳西城嘉苑</v>
      </c>
    </row>
    <row r="1692" hidden="1" spans="2:18">
      <c r="B1692" s="40" t="s">
        <v>81</v>
      </c>
      <c r="C1692" s="70">
        <v>45810</v>
      </c>
      <c r="D1692" s="120" t="str">
        <f>VLOOKUP(B1692,辅助信息!E:K,7,FALSE)</f>
        <v>JWDDCD2025060900080</v>
      </c>
      <c r="E1692" s="120" t="str">
        <f>VLOOKUP(F1692,辅助信息!A:B,2,FALSE)</f>
        <v>盘螺</v>
      </c>
      <c r="F1692" s="40" t="s">
        <v>40</v>
      </c>
      <c r="G1692" s="36">
        <v>11</v>
      </c>
      <c r="H1692" s="121">
        <f>_xlfn.XLOOKUP(C1692&amp;F1692&amp;I1692&amp;J1692,'[1]2025年已发货'!$F:$F&amp;'[1]2025年已发货'!$C:$C&amp;'[1]2025年已发货'!$G:$G&amp;'[1]2025年已发货'!$H:$H,'[1]2025年已发货'!$E:$E,"未发货")</f>
        <v>11</v>
      </c>
      <c r="I1692" s="120" t="str">
        <f>VLOOKUP(B1692,辅助信息!E:I,3,FALSE)</f>
        <v>（华西简阳西城嘉苑）四川省成都市简阳市简城街道高屋村</v>
      </c>
      <c r="J1692" s="120" t="str">
        <f>VLOOKUP(B1692,辅助信息!E:I,4,FALSE)</f>
        <v>张瀚镭</v>
      </c>
      <c r="K1692" s="120">
        <f>VLOOKUP(J1692,辅助信息!H:I,2,FALSE)</f>
        <v>15884666220</v>
      </c>
      <c r="L1692" s="122" t="str">
        <f>VLOOKUP(B1692,辅助信息!E:J,6,FALSE)</f>
        <v>现场禁止使用氢能源挂车！优先威钢发货,我方卸车,新老国标钢厂不加价可直发，因陕钢多次出现磅差，项目拒绝使用</v>
      </c>
      <c r="M1692" s="91">
        <v>45811</v>
      </c>
      <c r="O1692" s="62">
        <f ca="1" t="shared" si="93"/>
        <v>0</v>
      </c>
      <c r="P1692" s="62">
        <f ca="1" t="shared" si="94"/>
        <v>149</v>
      </c>
      <c r="Q1692" s="29" t="str">
        <f>VLOOKUP(B1692,辅助信息!E:M,9,FALSE)</f>
        <v>ZTWM-CDGS-XS-2024-0030-华西集采-简州大道</v>
      </c>
      <c r="R1692" s="29" t="str">
        <f>_xlfn._xlws.FILTER(辅助信息!D:D,辅助信息!E:E=B1692)</f>
        <v>华西简阳西城嘉苑</v>
      </c>
    </row>
    <row r="1693" hidden="1" spans="2:18">
      <c r="B1693" s="40" t="s">
        <v>81</v>
      </c>
      <c r="C1693" s="70">
        <v>45810</v>
      </c>
      <c r="D1693" s="120" t="str">
        <f>VLOOKUP(B1693,辅助信息!E:K,7,FALSE)</f>
        <v>JWDDCD2025060900080</v>
      </c>
      <c r="E1693" s="120" t="str">
        <f>VLOOKUP(F1693,辅助信息!A:B,2,FALSE)</f>
        <v>盘螺</v>
      </c>
      <c r="F1693" s="40" t="s">
        <v>41</v>
      </c>
      <c r="G1693" s="36">
        <v>72</v>
      </c>
      <c r="H1693" s="121">
        <f>_xlfn.XLOOKUP(C1693&amp;F1693&amp;I1693&amp;J1693,'[1]2025年已发货'!$F:$F&amp;'[1]2025年已发货'!$C:$C&amp;'[1]2025年已发货'!$G:$G&amp;'[1]2025年已发货'!$H:$H,'[1]2025年已发货'!$E:$E,"未发货")</f>
        <v>24</v>
      </c>
      <c r="I1693" s="120" t="str">
        <f>VLOOKUP(B1693,辅助信息!E:I,3,FALSE)</f>
        <v>（华西简阳西城嘉苑）四川省成都市简阳市简城街道高屋村</v>
      </c>
      <c r="J1693" s="120" t="str">
        <f>VLOOKUP(B1693,辅助信息!E:I,4,FALSE)</f>
        <v>张瀚镭</v>
      </c>
      <c r="K1693" s="120">
        <f>VLOOKUP(J1693,辅助信息!H:I,2,FALSE)</f>
        <v>15884666220</v>
      </c>
      <c r="L1693" s="122" t="str">
        <f>VLOOKUP(B1693,辅助信息!E:J,6,FALSE)</f>
        <v>现场禁止使用氢能源挂车！优先威钢发货,我方卸车,新老国标钢厂不加价可直发，因陕钢多次出现磅差，项目拒绝使用</v>
      </c>
      <c r="M1693" s="91">
        <v>45811</v>
      </c>
      <c r="O1693" s="62">
        <f ca="1" t="shared" si="93"/>
        <v>0</v>
      </c>
      <c r="P1693" s="62">
        <f ca="1" t="shared" si="94"/>
        <v>149</v>
      </c>
      <c r="Q1693" s="29" t="str">
        <f>VLOOKUP(B1693,辅助信息!E:M,9,FALSE)</f>
        <v>ZTWM-CDGS-XS-2024-0030-华西集采-简州大道</v>
      </c>
      <c r="R1693" s="29" t="str">
        <f>_xlfn._xlws.FILTER(辅助信息!D:D,辅助信息!E:E=B1693)</f>
        <v>华西简阳西城嘉苑</v>
      </c>
    </row>
    <row r="1694" hidden="1" spans="2:18">
      <c r="B1694" s="40" t="s">
        <v>81</v>
      </c>
      <c r="C1694" s="70">
        <v>45810</v>
      </c>
      <c r="D1694" s="120" t="str">
        <f>VLOOKUP(B1694,辅助信息!E:K,7,FALSE)</f>
        <v>JWDDCD2025060900080</v>
      </c>
      <c r="E1694" s="120" t="str">
        <f>VLOOKUP(F1694,辅助信息!A:B,2,FALSE)</f>
        <v>盘螺</v>
      </c>
      <c r="F1694" s="40" t="s">
        <v>26</v>
      </c>
      <c r="G1694" s="36">
        <v>51</v>
      </c>
      <c r="H1694" s="121">
        <f>_xlfn.XLOOKUP(C1694&amp;F1694&amp;I1694&amp;J1694,'[1]2025年已发货'!$F:$F&amp;'[1]2025年已发货'!$C:$C&amp;'[1]2025年已发货'!$G:$G&amp;'[1]2025年已发货'!$H:$H,'[1]2025年已发货'!$E:$E,"未发货")</f>
        <v>35</v>
      </c>
      <c r="I1694" s="120" t="str">
        <f>VLOOKUP(B1694,辅助信息!E:I,3,FALSE)</f>
        <v>（华西简阳西城嘉苑）四川省成都市简阳市简城街道高屋村</v>
      </c>
      <c r="J1694" s="120" t="str">
        <f>VLOOKUP(B1694,辅助信息!E:I,4,FALSE)</f>
        <v>张瀚镭</v>
      </c>
      <c r="K1694" s="120">
        <f>VLOOKUP(J1694,辅助信息!H:I,2,FALSE)</f>
        <v>15884666220</v>
      </c>
      <c r="L1694" s="122" t="str">
        <f>VLOOKUP(B1694,辅助信息!E:J,6,FALSE)</f>
        <v>现场禁止使用氢能源挂车！优先威钢发货,我方卸车,新老国标钢厂不加价可直发，因陕钢多次出现磅差，项目拒绝使用</v>
      </c>
      <c r="M1694" s="91">
        <v>45811</v>
      </c>
      <c r="O1694" s="62">
        <f ca="1" t="shared" si="93"/>
        <v>0</v>
      </c>
      <c r="P1694" s="62">
        <f ca="1" t="shared" si="94"/>
        <v>149</v>
      </c>
      <c r="Q1694" s="29" t="str">
        <f>VLOOKUP(B1694,辅助信息!E:M,9,FALSE)</f>
        <v>ZTWM-CDGS-XS-2024-0030-华西集采-简州大道</v>
      </c>
      <c r="R1694" s="29" t="str">
        <f>_xlfn._xlws.FILTER(辅助信息!D:D,辅助信息!E:E=B1694)</f>
        <v>华西简阳西城嘉苑</v>
      </c>
    </row>
    <row r="1695" hidden="1" spans="2:18">
      <c r="B1695" s="40" t="s">
        <v>81</v>
      </c>
      <c r="C1695" s="70">
        <v>45810</v>
      </c>
      <c r="D1695" s="120" t="str">
        <f>VLOOKUP(B1695,辅助信息!E:K,7,FALSE)</f>
        <v>JWDDCD2025060900080</v>
      </c>
      <c r="E1695" s="120" t="str">
        <f>VLOOKUP(F1695,辅助信息!A:B,2,FALSE)</f>
        <v>螺纹钢</v>
      </c>
      <c r="F1695" s="40" t="s">
        <v>19</v>
      </c>
      <c r="G1695" s="36">
        <v>17</v>
      </c>
      <c r="H1695" s="121">
        <f>_xlfn.XLOOKUP(C1695&amp;F1695&amp;I1695&amp;J1695,'[1]2025年已发货'!$F:$F&amp;'[1]2025年已发货'!$C:$C&amp;'[1]2025年已发货'!$G:$G&amp;'[1]2025年已发货'!$H:$H,'[1]2025年已发货'!$E:$E,"未发货")</f>
        <v>17</v>
      </c>
      <c r="I1695" s="120" t="str">
        <f>VLOOKUP(B1695,辅助信息!E:I,3,FALSE)</f>
        <v>（华西简阳西城嘉苑）四川省成都市简阳市简城街道高屋村</v>
      </c>
      <c r="J1695" s="120" t="str">
        <f>VLOOKUP(B1695,辅助信息!E:I,4,FALSE)</f>
        <v>张瀚镭</v>
      </c>
      <c r="K1695" s="120">
        <f>VLOOKUP(J1695,辅助信息!H:I,2,FALSE)</f>
        <v>15884666220</v>
      </c>
      <c r="L1695" s="122" t="str">
        <f>VLOOKUP(B1695,辅助信息!E:J,6,FALSE)</f>
        <v>现场禁止使用氢能源挂车！优先威钢发货,我方卸车,新老国标钢厂不加价可直发，因陕钢多次出现磅差，项目拒绝使用</v>
      </c>
      <c r="M1695" s="91">
        <v>45811</v>
      </c>
      <c r="O1695" s="62">
        <f ca="1" t="shared" si="93"/>
        <v>0</v>
      </c>
      <c r="P1695" s="62">
        <f ca="1" t="shared" si="94"/>
        <v>149</v>
      </c>
      <c r="Q1695" s="29" t="str">
        <f>VLOOKUP(B1695,辅助信息!E:M,9,FALSE)</f>
        <v>ZTWM-CDGS-XS-2024-0030-华西集采-简州大道</v>
      </c>
      <c r="R1695" s="29" t="str">
        <f>_xlfn._xlws.FILTER(辅助信息!D:D,辅助信息!E:E=B1695)</f>
        <v>华西简阳西城嘉苑</v>
      </c>
    </row>
    <row r="1696" hidden="1" spans="2:18">
      <c r="B1696" s="40" t="s">
        <v>81</v>
      </c>
      <c r="C1696" s="70">
        <v>45810</v>
      </c>
      <c r="D1696" s="120" t="str">
        <f>VLOOKUP(B1696,辅助信息!E:K,7,FALSE)</f>
        <v>JWDDCD2025060900080</v>
      </c>
      <c r="E1696" s="120" t="str">
        <f>VLOOKUP(F1696,辅助信息!A:B,2,FALSE)</f>
        <v>螺纹钢</v>
      </c>
      <c r="F1696" s="40" t="s">
        <v>32</v>
      </c>
      <c r="G1696" s="36">
        <v>68</v>
      </c>
      <c r="H1696" s="121">
        <f>_xlfn.XLOOKUP(C1696&amp;F1696&amp;I1696&amp;J1696,'[1]2025年已发货'!$F:$F&amp;'[1]2025年已发货'!$C:$C&amp;'[1]2025年已发货'!$G:$G&amp;'[1]2025年已发货'!$H:$H,'[1]2025年已发货'!$E:$E,"未发货")</f>
        <v>68</v>
      </c>
      <c r="I1696" s="120" t="str">
        <f>VLOOKUP(B1696,辅助信息!E:I,3,FALSE)</f>
        <v>（华西简阳西城嘉苑）四川省成都市简阳市简城街道高屋村</v>
      </c>
      <c r="J1696" s="120" t="str">
        <f>VLOOKUP(B1696,辅助信息!E:I,4,FALSE)</f>
        <v>张瀚镭</v>
      </c>
      <c r="K1696" s="120">
        <f>VLOOKUP(J1696,辅助信息!H:I,2,FALSE)</f>
        <v>15884666220</v>
      </c>
      <c r="L1696" s="122" t="str">
        <f>VLOOKUP(B1696,辅助信息!E:J,6,FALSE)</f>
        <v>现场禁止使用氢能源挂车！优先威钢发货,我方卸车,新老国标钢厂不加价可直发，因陕钢多次出现磅差，项目拒绝使用</v>
      </c>
      <c r="M1696" s="91">
        <v>45811</v>
      </c>
      <c r="O1696" s="62">
        <f ca="1" t="shared" si="93"/>
        <v>0</v>
      </c>
      <c r="P1696" s="62">
        <f ca="1" t="shared" si="94"/>
        <v>149</v>
      </c>
      <c r="Q1696" s="29" t="str">
        <f>VLOOKUP(B1696,辅助信息!E:M,9,FALSE)</f>
        <v>ZTWM-CDGS-XS-2024-0030-华西集采-简州大道</v>
      </c>
      <c r="R1696" s="29" t="str">
        <f>_xlfn._xlws.FILTER(辅助信息!D:D,辅助信息!E:E=B1696)</f>
        <v>华西简阳西城嘉苑</v>
      </c>
    </row>
    <row r="1697" hidden="1" spans="2:18">
      <c r="B1697" s="40" t="s">
        <v>81</v>
      </c>
      <c r="C1697" s="70">
        <v>45810</v>
      </c>
      <c r="D1697" s="120" t="str">
        <f>VLOOKUP(B1697,辅助信息!E:K,7,FALSE)</f>
        <v>JWDDCD2025060900080</v>
      </c>
      <c r="E1697" s="120" t="str">
        <f>VLOOKUP(F1697,辅助信息!A:B,2,FALSE)</f>
        <v>螺纹钢</v>
      </c>
      <c r="F1697" s="40" t="s">
        <v>30</v>
      </c>
      <c r="G1697" s="36">
        <v>20</v>
      </c>
      <c r="H1697" s="121">
        <f>_xlfn.XLOOKUP(C1697&amp;F1697&amp;I1697&amp;J1697,'[1]2025年已发货'!$F:$F&amp;'[1]2025年已发货'!$C:$C&amp;'[1]2025年已发货'!$G:$G&amp;'[1]2025年已发货'!$H:$H,'[1]2025年已发货'!$E:$E,"未发货")</f>
        <v>20</v>
      </c>
      <c r="I1697" s="120" t="str">
        <f>VLOOKUP(B1697,辅助信息!E:I,3,FALSE)</f>
        <v>（华西简阳西城嘉苑）四川省成都市简阳市简城街道高屋村</v>
      </c>
      <c r="J1697" s="120" t="str">
        <f>VLOOKUP(B1697,辅助信息!E:I,4,FALSE)</f>
        <v>张瀚镭</v>
      </c>
      <c r="K1697" s="120">
        <f>VLOOKUP(J1697,辅助信息!H:I,2,FALSE)</f>
        <v>15884666220</v>
      </c>
      <c r="L1697" s="122" t="str">
        <f>VLOOKUP(B1697,辅助信息!E:J,6,FALSE)</f>
        <v>现场禁止使用氢能源挂车！优先威钢发货,我方卸车,新老国标钢厂不加价可直发，因陕钢多次出现磅差，项目拒绝使用</v>
      </c>
      <c r="M1697" s="91">
        <v>45811</v>
      </c>
      <c r="O1697" s="62">
        <f ca="1" t="shared" si="93"/>
        <v>0</v>
      </c>
      <c r="P1697" s="62">
        <f ca="1" t="shared" si="94"/>
        <v>149</v>
      </c>
      <c r="Q1697" s="29" t="str">
        <f>VLOOKUP(B1697,辅助信息!E:M,9,FALSE)</f>
        <v>ZTWM-CDGS-XS-2024-0030-华西集采-简州大道</v>
      </c>
      <c r="R1697" s="29" t="str">
        <f>_xlfn._xlws.FILTER(辅助信息!D:D,辅助信息!E:E=B1697)</f>
        <v>华西简阳西城嘉苑</v>
      </c>
    </row>
    <row r="1698" hidden="1" spans="2:18">
      <c r="B1698" s="40" t="s">
        <v>81</v>
      </c>
      <c r="C1698" s="70">
        <v>45810</v>
      </c>
      <c r="D1698" s="120" t="str">
        <f>VLOOKUP(B1698,辅助信息!E:K,7,FALSE)</f>
        <v>JWDDCD2025060900080</v>
      </c>
      <c r="E1698" s="120" t="str">
        <f>VLOOKUP(F1698,辅助信息!A:B,2,FALSE)</f>
        <v>螺纹钢</v>
      </c>
      <c r="F1698" s="40" t="s">
        <v>33</v>
      </c>
      <c r="G1698" s="36">
        <v>94</v>
      </c>
      <c r="H1698" s="121">
        <f>_xlfn.XLOOKUP(C1698&amp;F1698&amp;I1698&amp;J1698,'[1]2025年已发货'!$F:$F&amp;'[1]2025年已发货'!$C:$C&amp;'[1]2025年已发货'!$G:$G&amp;'[1]2025年已发货'!$H:$H,'[1]2025年已发货'!$E:$E,"未发货")</f>
        <v>94</v>
      </c>
      <c r="I1698" s="120" t="str">
        <f>VLOOKUP(B1698,辅助信息!E:I,3,FALSE)</f>
        <v>（华西简阳西城嘉苑）四川省成都市简阳市简城街道高屋村</v>
      </c>
      <c r="J1698" s="120" t="str">
        <f>VLOOKUP(B1698,辅助信息!E:I,4,FALSE)</f>
        <v>张瀚镭</v>
      </c>
      <c r="K1698" s="120">
        <f>VLOOKUP(J1698,辅助信息!H:I,2,FALSE)</f>
        <v>15884666220</v>
      </c>
      <c r="L1698" s="122" t="str">
        <f>VLOOKUP(B1698,辅助信息!E:J,6,FALSE)</f>
        <v>现场禁止使用氢能源挂车！优先威钢发货,我方卸车,新老国标钢厂不加价可直发，因陕钢多次出现磅差，项目拒绝使用</v>
      </c>
      <c r="M1698" s="91">
        <v>45811</v>
      </c>
      <c r="O1698" s="62">
        <f ca="1" t="shared" si="93"/>
        <v>0</v>
      </c>
      <c r="P1698" s="62">
        <f ca="1" t="shared" si="94"/>
        <v>149</v>
      </c>
      <c r="Q1698" s="29" t="str">
        <f>VLOOKUP(B1698,辅助信息!E:M,9,FALSE)</f>
        <v>ZTWM-CDGS-XS-2024-0030-华西集采-简州大道</v>
      </c>
      <c r="R1698" s="29" t="str">
        <f>_xlfn._xlws.FILTER(辅助信息!D:D,辅助信息!E:E=B1698)</f>
        <v>华西简阳西城嘉苑</v>
      </c>
    </row>
    <row r="1699" hidden="1" spans="2:18">
      <c r="B1699" s="40" t="s">
        <v>81</v>
      </c>
      <c r="C1699" s="70">
        <v>45810</v>
      </c>
      <c r="D1699" s="120" t="str">
        <f>VLOOKUP(B1699,辅助信息!E:K,7,FALSE)</f>
        <v>JWDDCD2025060900080</v>
      </c>
      <c r="E1699" s="120" t="str">
        <f>VLOOKUP(F1699,辅助信息!A:B,2,FALSE)</f>
        <v>螺纹钢</v>
      </c>
      <c r="F1699" s="40" t="s">
        <v>28</v>
      </c>
      <c r="G1699" s="36">
        <v>12</v>
      </c>
      <c r="H1699" s="121">
        <f>_xlfn.XLOOKUP(C1699&amp;F1699&amp;I1699&amp;J1699,'[1]2025年已发货'!$F:$F&amp;'[1]2025年已发货'!$C:$C&amp;'[1]2025年已发货'!$G:$G&amp;'[1]2025年已发货'!$H:$H,'[1]2025年已发货'!$E:$E,"未发货")</f>
        <v>12</v>
      </c>
      <c r="I1699" s="120" t="str">
        <f>VLOOKUP(B1699,辅助信息!E:I,3,FALSE)</f>
        <v>（华西简阳西城嘉苑）四川省成都市简阳市简城街道高屋村</v>
      </c>
      <c r="J1699" s="120" t="str">
        <f>VLOOKUP(B1699,辅助信息!E:I,4,FALSE)</f>
        <v>张瀚镭</v>
      </c>
      <c r="K1699" s="120">
        <f>VLOOKUP(J1699,辅助信息!H:I,2,FALSE)</f>
        <v>15884666220</v>
      </c>
      <c r="L1699" s="122" t="str">
        <f>VLOOKUP(B1699,辅助信息!E:J,6,FALSE)</f>
        <v>现场禁止使用氢能源挂车！优先威钢发货,我方卸车,新老国标钢厂不加价可直发，因陕钢多次出现磅差，项目拒绝使用</v>
      </c>
      <c r="M1699" s="91">
        <v>45811</v>
      </c>
      <c r="O1699" s="62">
        <f ca="1" t="shared" si="93"/>
        <v>0</v>
      </c>
      <c r="P1699" s="62">
        <f ca="1" t="shared" si="94"/>
        <v>149</v>
      </c>
      <c r="Q1699" s="29" t="str">
        <f>VLOOKUP(B1699,辅助信息!E:M,9,FALSE)</f>
        <v>ZTWM-CDGS-XS-2024-0030-华西集采-简州大道</v>
      </c>
      <c r="R1699" s="29" t="str">
        <f>_xlfn._xlws.FILTER(辅助信息!D:D,辅助信息!E:E=B1699)</f>
        <v>华西简阳西城嘉苑</v>
      </c>
    </row>
    <row r="1700" hidden="1" spans="2:18">
      <c r="B1700" s="83" t="s">
        <v>81</v>
      </c>
      <c r="C1700" s="84">
        <v>45810</v>
      </c>
      <c r="D1700" s="124" t="str">
        <f>VLOOKUP(B1700,辅助信息!E:K,7,FALSE)</f>
        <v>JWDDCD2025060900080</v>
      </c>
      <c r="E1700" s="124" t="str">
        <f>VLOOKUP(F1700,辅助信息!A:B,2,FALSE)</f>
        <v>螺纹钢</v>
      </c>
      <c r="F1700" s="83" t="s">
        <v>18</v>
      </c>
      <c r="G1700" s="85">
        <v>36</v>
      </c>
      <c r="H1700" s="125">
        <f>_xlfn.XLOOKUP(C1700&amp;F1700&amp;I1700&amp;J1700,'[1]2025年已发货'!$F:$F&amp;'[1]2025年已发货'!$C:$C&amp;'[1]2025年已发货'!$G:$G&amp;'[1]2025年已发货'!$H:$H,'[1]2025年已发货'!$E:$E,"未发货")</f>
        <v>36</v>
      </c>
      <c r="I1700" s="124" t="str">
        <f>VLOOKUP(B1700,辅助信息!E:I,3,FALSE)</f>
        <v>（华西简阳西城嘉苑）四川省成都市简阳市简城街道高屋村</v>
      </c>
      <c r="J1700" s="124" t="str">
        <f>VLOOKUP(B1700,辅助信息!E:I,4,FALSE)</f>
        <v>张瀚镭</v>
      </c>
      <c r="K1700" s="124">
        <f>VLOOKUP(J1700,辅助信息!H:I,2,FALSE)</f>
        <v>15884666220</v>
      </c>
      <c r="L1700" s="126" t="str">
        <f>VLOOKUP(B1700,辅助信息!E:J,6,FALSE)</f>
        <v>现场禁止使用氢能源挂车！优先威钢发货,我方卸车,新老国标钢厂不加价可直发，因陕钢多次出现磅差，项目拒绝使用</v>
      </c>
      <c r="M1700" s="91">
        <v>45811</v>
      </c>
      <c r="O1700" s="62">
        <f ca="1" t="shared" si="93"/>
        <v>0</v>
      </c>
      <c r="P1700" s="62">
        <f ca="1" t="shared" si="94"/>
        <v>149</v>
      </c>
      <c r="Q1700" s="29" t="str">
        <f>VLOOKUP(B1700,辅助信息!E:M,9,FALSE)</f>
        <v>ZTWM-CDGS-XS-2024-0030-华西集采-简州大道</v>
      </c>
      <c r="R1700" s="29" t="str">
        <f>_xlfn._xlws.FILTER(辅助信息!D:D,辅助信息!E:E=B1700)</f>
        <v>华西简阳西城嘉苑</v>
      </c>
    </row>
    <row r="1701" hidden="1" spans="2:18">
      <c r="B1701" s="120" t="s">
        <v>81</v>
      </c>
      <c r="C1701" s="70">
        <v>45811</v>
      </c>
      <c r="D1701" s="120" t="str">
        <f>VLOOKUP(B1701,辅助信息!E:K,7,FALSE)</f>
        <v>JWDDCD2025060900080</v>
      </c>
      <c r="E1701" s="120" t="str">
        <f>VLOOKUP(F1701,辅助信息!A:B,2,FALSE)</f>
        <v>高线</v>
      </c>
      <c r="F1701" s="120" t="s">
        <v>53</v>
      </c>
      <c r="G1701" s="121">
        <v>2</v>
      </c>
      <c r="H1701" s="121" t="str">
        <f>_xlfn.XLOOKUP(C1701&amp;F1701&amp;I1701&amp;J1701,'[1]2025年已发货'!$F:$F&amp;'[1]2025年已发货'!$C:$C&amp;'[1]2025年已发货'!$G:$G&amp;'[1]2025年已发货'!$H:$H,'[1]2025年已发货'!$E:$E,"未发货")</f>
        <v>未发货</v>
      </c>
      <c r="I1701" s="120" t="str">
        <f>VLOOKUP(B1701,辅助信息!E:I,3,FALSE)</f>
        <v>（华西简阳西城嘉苑）四川省成都市简阳市简城街道高屋村</v>
      </c>
      <c r="J1701" s="120" t="str">
        <f>VLOOKUP(B1701,辅助信息!E:I,4,FALSE)</f>
        <v>张瀚镭</v>
      </c>
      <c r="K1701" s="120">
        <f>VLOOKUP(J1701,辅助信息!H:I,2,FALSE)</f>
        <v>15884666220</v>
      </c>
      <c r="L1701" s="122" t="str">
        <f>VLOOKUP(B1701,辅助信息!E:J,6,FALSE)</f>
        <v>现场禁止使用氢能源挂车！优先威钢发货,我方卸车,新老国标钢厂不加价可直发，因陕钢多次出现磅差，项目拒绝使用</v>
      </c>
      <c r="M1701" s="104">
        <v>45812</v>
      </c>
      <c r="O1701" s="62">
        <f ca="1" t="shared" si="93"/>
        <v>0</v>
      </c>
      <c r="P1701" s="62">
        <f ca="1" t="shared" si="94"/>
        <v>148</v>
      </c>
      <c r="Q1701" s="29" t="str">
        <f>VLOOKUP(B1701,辅助信息!E:M,9,FALSE)</f>
        <v>ZTWM-CDGS-XS-2024-0030-华西集采-简州大道</v>
      </c>
      <c r="R1701" s="29" t="str">
        <f>_xlfn._xlws.FILTER(辅助信息!D:D,辅助信息!E:E=B1701)</f>
        <v>华西简阳西城嘉苑</v>
      </c>
    </row>
    <row r="1702" hidden="1" spans="2:18">
      <c r="B1702" s="120" t="s">
        <v>81</v>
      </c>
      <c r="C1702" s="70">
        <v>45811</v>
      </c>
      <c r="D1702" s="120" t="str">
        <f>VLOOKUP(B1702,辅助信息!E:K,7,FALSE)</f>
        <v>JWDDCD2025060900080</v>
      </c>
      <c r="E1702" s="120" t="str">
        <f>VLOOKUP(F1702,辅助信息!A:B,2,FALSE)</f>
        <v>盘螺</v>
      </c>
      <c r="F1702" s="120" t="s">
        <v>49</v>
      </c>
      <c r="G1702" s="121">
        <v>4.5</v>
      </c>
      <c r="H1702" s="121" t="str">
        <f>_xlfn.XLOOKUP(C1702&amp;F1702&amp;I1702&amp;J1702,'[1]2025年已发货'!$F:$F&amp;'[1]2025年已发货'!$C:$C&amp;'[1]2025年已发货'!$G:$G&amp;'[1]2025年已发货'!$H:$H,'[1]2025年已发货'!$E:$E,"未发货")</f>
        <v>未发货</v>
      </c>
      <c r="I1702" s="120" t="str">
        <f>VLOOKUP(B1702,辅助信息!E:I,3,FALSE)</f>
        <v>（华西简阳西城嘉苑）四川省成都市简阳市简城街道高屋村</v>
      </c>
      <c r="J1702" s="120" t="str">
        <f>VLOOKUP(B1702,辅助信息!E:I,4,FALSE)</f>
        <v>张瀚镭</v>
      </c>
      <c r="K1702" s="120">
        <f>VLOOKUP(J1702,辅助信息!H:I,2,FALSE)</f>
        <v>15884666220</v>
      </c>
      <c r="L1702" s="122" t="str">
        <f>VLOOKUP(B1702,辅助信息!E:J,6,FALSE)</f>
        <v>现场禁止使用氢能源挂车！优先威钢发货,我方卸车,新老国标钢厂不加价可直发，因陕钢多次出现磅差，项目拒绝使用</v>
      </c>
      <c r="M1702" s="104">
        <v>45812</v>
      </c>
      <c r="O1702" s="62">
        <f ca="1" t="shared" si="93"/>
        <v>0</v>
      </c>
      <c r="P1702" s="62">
        <f ca="1" t="shared" si="94"/>
        <v>148</v>
      </c>
      <c r="Q1702" s="29" t="str">
        <f>VLOOKUP(B1702,辅助信息!E:M,9,FALSE)</f>
        <v>ZTWM-CDGS-XS-2024-0030-华西集采-简州大道</v>
      </c>
      <c r="R1702" s="29" t="str">
        <f>_xlfn._xlws.FILTER(辅助信息!D:D,辅助信息!E:E=B1702)</f>
        <v>华西简阳西城嘉苑</v>
      </c>
    </row>
    <row r="1703" hidden="1" spans="2:18">
      <c r="B1703" s="120" t="s">
        <v>81</v>
      </c>
      <c r="C1703" s="70">
        <v>45811</v>
      </c>
      <c r="D1703" s="120" t="str">
        <f>VLOOKUP(B1703,辅助信息!E:K,7,FALSE)</f>
        <v>JWDDCD2025060900080</v>
      </c>
      <c r="E1703" s="120" t="str">
        <f>VLOOKUP(F1703,辅助信息!A:B,2,FALSE)</f>
        <v>盘螺</v>
      </c>
      <c r="F1703" s="120" t="s">
        <v>41</v>
      </c>
      <c r="G1703" s="121">
        <f>72-24</f>
        <v>48</v>
      </c>
      <c r="H1703" s="121">
        <f>_xlfn.XLOOKUP(C1703&amp;F1703&amp;I1703&amp;J1703,'[1]2025年已发货'!$F:$F&amp;'[1]2025年已发货'!$C:$C&amp;'[1]2025年已发货'!$G:$G&amp;'[1]2025年已发货'!$H:$H,'[1]2025年已发货'!$E:$E,"未发货")</f>
        <v>39</v>
      </c>
      <c r="I1703" s="120" t="str">
        <f>VLOOKUP(B1703,辅助信息!E:I,3,FALSE)</f>
        <v>（华西简阳西城嘉苑）四川省成都市简阳市简城街道高屋村</v>
      </c>
      <c r="J1703" s="120" t="str">
        <f>VLOOKUP(B1703,辅助信息!E:I,4,FALSE)</f>
        <v>张瀚镭</v>
      </c>
      <c r="K1703" s="120">
        <f>VLOOKUP(J1703,辅助信息!H:I,2,FALSE)</f>
        <v>15884666220</v>
      </c>
      <c r="L1703" s="122" t="str">
        <f>VLOOKUP(B1703,辅助信息!E:J,6,FALSE)</f>
        <v>现场禁止使用氢能源挂车！优先威钢发货,我方卸车,新老国标钢厂不加价可直发，因陕钢多次出现磅差，项目拒绝使用</v>
      </c>
      <c r="M1703" s="104">
        <v>45812</v>
      </c>
      <c r="O1703" s="62">
        <f ca="1" t="shared" si="93"/>
        <v>0</v>
      </c>
      <c r="P1703" s="62">
        <f ca="1" t="shared" si="94"/>
        <v>148</v>
      </c>
      <c r="Q1703" s="29" t="str">
        <f>VLOOKUP(B1703,辅助信息!E:M,9,FALSE)</f>
        <v>ZTWM-CDGS-XS-2024-0030-华西集采-简州大道</v>
      </c>
      <c r="R1703" s="29" t="str">
        <f>_xlfn._xlws.FILTER(辅助信息!D:D,辅助信息!E:E=B1703)</f>
        <v>华西简阳西城嘉苑</v>
      </c>
    </row>
    <row r="1704" hidden="1" spans="2:18">
      <c r="B1704" s="120" t="s">
        <v>81</v>
      </c>
      <c r="C1704" s="70">
        <v>45811</v>
      </c>
      <c r="D1704" s="120" t="str">
        <f>VLOOKUP(B1704,辅助信息!E:K,7,FALSE)</f>
        <v>JWDDCD2025060900080</v>
      </c>
      <c r="E1704" s="120" t="str">
        <f>VLOOKUP(F1704,辅助信息!A:B,2,FALSE)</f>
        <v>螺纹钢</v>
      </c>
      <c r="F1704" s="40" t="s">
        <v>58</v>
      </c>
      <c r="G1704" s="36">
        <v>9</v>
      </c>
      <c r="H1704" s="121">
        <f>_xlfn.XLOOKUP(C1704&amp;F1704&amp;I1704&amp;J1704,'[1]2025年已发货'!$F:$F&amp;'[1]2025年已发货'!$C:$C&amp;'[1]2025年已发货'!$G:$G&amp;'[1]2025年已发货'!$H:$H,'[1]2025年已发货'!$E:$E,"未发货")</f>
        <v>9</v>
      </c>
      <c r="I1704" s="120" t="str">
        <f>VLOOKUP(B1704,辅助信息!E:I,3,FALSE)</f>
        <v>（华西简阳西城嘉苑）四川省成都市简阳市简城街道高屋村</v>
      </c>
      <c r="J1704" s="120" t="str">
        <f>VLOOKUP(B1704,辅助信息!E:I,4,FALSE)</f>
        <v>张瀚镭</v>
      </c>
      <c r="K1704" s="120">
        <f>VLOOKUP(J1704,辅助信息!H:I,2,FALSE)</f>
        <v>15884666220</v>
      </c>
      <c r="L1704" s="122" t="str">
        <f>VLOOKUP(B1704,辅助信息!E:J,6,FALSE)</f>
        <v>现场禁止使用氢能源挂车！优先威钢发货,我方卸车,新老国标钢厂不加价可直发，因陕钢多次出现磅差，项目拒绝使用</v>
      </c>
      <c r="M1704" s="104">
        <v>45812</v>
      </c>
      <c r="O1704" s="62">
        <f ca="1" t="shared" ref="O1704:O1729" si="95">IF(OR(M1704="",N1704&lt;&gt;""),"",MAX(M1704-TODAY(),0))</f>
        <v>0</v>
      </c>
      <c r="P1704" s="62">
        <f ca="1" t="shared" ref="P1704:P1729" si="96">IF(M1704="","",IF(N1704&lt;&gt;"",MAX(N1704-M1704,0),IF(TODAY()&gt;M1704,TODAY()-M1704,0)))</f>
        <v>148</v>
      </c>
      <c r="Q1704" s="29" t="str">
        <f>VLOOKUP(B1704,辅助信息!E:M,9,FALSE)</f>
        <v>ZTWM-CDGS-XS-2024-0030-华西集采-简州大道</v>
      </c>
      <c r="R1704" s="29" t="str">
        <f>_xlfn._xlws.FILTER(辅助信息!D:D,辅助信息!E:E=B1704)</f>
        <v>华西简阳西城嘉苑</v>
      </c>
    </row>
    <row r="1705" hidden="1" spans="2:18">
      <c r="B1705" s="120" t="s">
        <v>81</v>
      </c>
      <c r="C1705" s="70">
        <v>45811</v>
      </c>
      <c r="D1705" s="120" t="str">
        <f>VLOOKUP(B1705,辅助信息!E:K,7,FALSE)</f>
        <v>JWDDCD2025060900080</v>
      </c>
      <c r="E1705" s="120" t="str">
        <f>VLOOKUP(F1705,辅助信息!A:B,2,FALSE)</f>
        <v>螺纹钢</v>
      </c>
      <c r="F1705" s="40" t="s">
        <v>46</v>
      </c>
      <c r="G1705" s="36">
        <v>5</v>
      </c>
      <c r="H1705" s="121" t="str">
        <f>_xlfn.XLOOKUP(C1705&amp;F1705&amp;I1705&amp;J1705,'[1]2025年已发货'!$F:$F&amp;'[1]2025年已发货'!$C:$C&amp;'[1]2025年已发货'!$G:$G&amp;'[1]2025年已发货'!$H:$H,'[1]2025年已发货'!$E:$E,"未发货")</f>
        <v>未发货</v>
      </c>
      <c r="I1705" s="120" t="str">
        <f>VLOOKUP(B1705,辅助信息!E:I,3,FALSE)</f>
        <v>（华西简阳西城嘉苑）四川省成都市简阳市简城街道高屋村</v>
      </c>
      <c r="J1705" s="120" t="str">
        <f>VLOOKUP(B1705,辅助信息!E:I,4,FALSE)</f>
        <v>张瀚镭</v>
      </c>
      <c r="K1705" s="120">
        <f>VLOOKUP(J1705,辅助信息!H:I,2,FALSE)</f>
        <v>15884666220</v>
      </c>
      <c r="L1705" s="122" t="str">
        <f>VLOOKUP(B1705,辅助信息!E:J,6,FALSE)</f>
        <v>现场禁止使用氢能源挂车！优先威钢发货,我方卸车,新老国标钢厂不加价可直发，因陕钢多次出现磅差，项目拒绝使用</v>
      </c>
      <c r="M1705" s="104">
        <v>45812</v>
      </c>
      <c r="O1705" s="62">
        <f ca="1" t="shared" si="95"/>
        <v>0</v>
      </c>
      <c r="P1705" s="62">
        <f ca="1" t="shared" si="96"/>
        <v>148</v>
      </c>
      <c r="Q1705" s="29" t="str">
        <f>VLOOKUP(B1705,辅助信息!E:M,9,FALSE)</f>
        <v>ZTWM-CDGS-XS-2024-0030-华西集采-简州大道</v>
      </c>
      <c r="R1705" s="29" t="str">
        <f>_xlfn._xlws.FILTER(辅助信息!D:D,辅助信息!E:E=B1705)</f>
        <v>华西简阳西城嘉苑</v>
      </c>
    </row>
    <row r="1706" hidden="1" spans="2:18">
      <c r="B1706" s="120" t="s">
        <v>81</v>
      </c>
      <c r="C1706" s="70">
        <v>45811</v>
      </c>
      <c r="D1706" s="120" t="str">
        <f>VLOOKUP(B1706,辅助信息!E:K,7,FALSE)</f>
        <v>JWDDCD2025060900080</v>
      </c>
      <c r="E1706" s="120" t="str">
        <f>VLOOKUP(F1706,辅助信息!A:B,2,FALSE)</f>
        <v>螺纹钢</v>
      </c>
      <c r="F1706" s="40" t="s">
        <v>22</v>
      </c>
      <c r="G1706" s="36">
        <v>24</v>
      </c>
      <c r="H1706" s="121">
        <f>_xlfn.XLOOKUP(C1706&amp;F1706&amp;I1706&amp;J1706,'[1]2025年已发货'!$F:$F&amp;'[1]2025年已发货'!$C:$C&amp;'[1]2025年已发货'!$G:$G&amp;'[1]2025年已发货'!$H:$H,'[1]2025年已发货'!$E:$E,"未发货")</f>
        <v>24</v>
      </c>
      <c r="I1706" s="120" t="str">
        <f>VLOOKUP(B1706,辅助信息!E:I,3,FALSE)</f>
        <v>（华西简阳西城嘉苑）四川省成都市简阳市简城街道高屋村</v>
      </c>
      <c r="J1706" s="120" t="str">
        <f>VLOOKUP(B1706,辅助信息!E:I,4,FALSE)</f>
        <v>张瀚镭</v>
      </c>
      <c r="K1706" s="120">
        <f>VLOOKUP(J1706,辅助信息!H:I,2,FALSE)</f>
        <v>15884666220</v>
      </c>
      <c r="L1706" s="122" t="str">
        <f>VLOOKUP(B1706,辅助信息!E:J,6,FALSE)</f>
        <v>现场禁止使用氢能源挂车！优先威钢发货,我方卸车,新老国标钢厂不加价可直发，因陕钢多次出现磅差，项目拒绝使用</v>
      </c>
      <c r="M1706" s="104">
        <v>45812</v>
      </c>
      <c r="O1706" s="62">
        <f ca="1" t="shared" si="95"/>
        <v>0</v>
      </c>
      <c r="P1706" s="62">
        <f ca="1" t="shared" si="96"/>
        <v>148</v>
      </c>
      <c r="Q1706" s="29" t="str">
        <f>VLOOKUP(B1706,辅助信息!E:M,9,FALSE)</f>
        <v>ZTWM-CDGS-XS-2024-0030-华西集采-简州大道</v>
      </c>
      <c r="R1706" s="29" t="str">
        <f>_xlfn._xlws.FILTER(辅助信息!D:D,辅助信息!E:E=B1706)</f>
        <v>华西简阳西城嘉苑</v>
      </c>
    </row>
    <row r="1707" hidden="1" spans="2:18">
      <c r="B1707" s="120" t="s">
        <v>81</v>
      </c>
      <c r="C1707" s="70">
        <v>45812</v>
      </c>
      <c r="D1707" s="120" t="str">
        <f>VLOOKUP(B1707,辅助信息!E:K,7,FALSE)</f>
        <v>JWDDCD2025060900080</v>
      </c>
      <c r="E1707" s="120" t="str">
        <f>VLOOKUP(F1707,辅助信息!A:B,2,FALSE)</f>
        <v>高线</v>
      </c>
      <c r="F1707" s="120" t="s">
        <v>53</v>
      </c>
      <c r="G1707" s="121">
        <v>2</v>
      </c>
      <c r="H1707" s="121" t="str">
        <f>_xlfn.XLOOKUP(C1707&amp;F1707&amp;I1707&amp;J1707,'[1]2025年已发货'!$F:$F&amp;'[1]2025年已发货'!$C:$C&amp;'[1]2025年已发货'!$G:$G&amp;'[1]2025年已发货'!$H:$H,'[1]2025年已发货'!$E:$E,"未发货")</f>
        <v>未发货</v>
      </c>
      <c r="I1707" s="120" t="str">
        <f>VLOOKUP(B1707,辅助信息!E:I,3,FALSE)</f>
        <v>（华西简阳西城嘉苑）四川省成都市简阳市简城街道高屋村</v>
      </c>
      <c r="J1707" s="120" t="str">
        <f>VLOOKUP(B1707,辅助信息!E:I,4,FALSE)</f>
        <v>张瀚镭</v>
      </c>
      <c r="K1707" s="120">
        <f>VLOOKUP(J1707,辅助信息!H:I,2,FALSE)</f>
        <v>15884666220</v>
      </c>
      <c r="L1707" s="122" t="str">
        <f>VLOOKUP(B1707,辅助信息!E:J,6,FALSE)</f>
        <v>现场禁止使用氢能源挂车！优先威钢发货,我方卸车,新老国标钢厂不加价可直发，因陕钢多次出现磅差，项目拒绝使用</v>
      </c>
      <c r="M1707" s="104">
        <v>45813</v>
      </c>
      <c r="O1707" s="62">
        <f ca="1" t="shared" si="95"/>
        <v>0</v>
      </c>
      <c r="P1707" s="62">
        <f ca="1" t="shared" si="96"/>
        <v>147</v>
      </c>
      <c r="Q1707" s="29" t="str">
        <f>VLOOKUP(B1707,辅助信息!E:M,9,FALSE)</f>
        <v>ZTWM-CDGS-XS-2024-0030-华西集采-简州大道</v>
      </c>
      <c r="R1707" s="29" t="str">
        <f>_xlfn._xlws.FILTER(辅助信息!D:D,辅助信息!E:E=B1707)</f>
        <v>华西简阳西城嘉苑</v>
      </c>
    </row>
    <row r="1708" hidden="1" spans="2:18">
      <c r="B1708" s="120" t="s">
        <v>81</v>
      </c>
      <c r="C1708" s="70">
        <v>45812</v>
      </c>
      <c r="D1708" s="120" t="str">
        <f>VLOOKUP(B1708,辅助信息!E:K,7,FALSE)</f>
        <v>JWDDCD2025060900080</v>
      </c>
      <c r="E1708" s="120" t="str">
        <f>VLOOKUP(F1708,辅助信息!A:B,2,FALSE)</f>
        <v>盘螺</v>
      </c>
      <c r="F1708" s="120" t="s">
        <v>49</v>
      </c>
      <c r="G1708" s="121">
        <v>7.5</v>
      </c>
      <c r="H1708" s="121" t="str">
        <f>_xlfn.XLOOKUP(C1708&amp;F1708&amp;I1708&amp;J1708,'[1]2025年已发货'!$F:$F&amp;'[1]2025年已发货'!$C:$C&amp;'[1]2025年已发货'!$G:$G&amp;'[1]2025年已发货'!$H:$H,'[1]2025年已发货'!$E:$E,"未发货")</f>
        <v>未发货</v>
      </c>
      <c r="I1708" s="120" t="str">
        <f>VLOOKUP(B1708,辅助信息!E:I,3,FALSE)</f>
        <v>（华西简阳西城嘉苑）四川省成都市简阳市简城街道高屋村</v>
      </c>
      <c r="J1708" s="120" t="str">
        <f>VLOOKUP(B1708,辅助信息!E:I,4,FALSE)</f>
        <v>张瀚镭</v>
      </c>
      <c r="K1708" s="120">
        <f>VLOOKUP(J1708,辅助信息!H:I,2,FALSE)</f>
        <v>15884666220</v>
      </c>
      <c r="L1708" s="122" t="str">
        <f>VLOOKUP(B1708,辅助信息!E:J,6,FALSE)</f>
        <v>现场禁止使用氢能源挂车！优先威钢发货,我方卸车,新老国标钢厂不加价可直发，因陕钢多次出现磅差，项目拒绝使用</v>
      </c>
      <c r="M1708" s="104">
        <v>45813</v>
      </c>
      <c r="O1708" s="62">
        <f ca="1" t="shared" si="95"/>
        <v>0</v>
      </c>
      <c r="P1708" s="62">
        <f ca="1" t="shared" si="96"/>
        <v>147</v>
      </c>
      <c r="Q1708" s="29" t="str">
        <f>VLOOKUP(B1708,辅助信息!E:M,9,FALSE)</f>
        <v>ZTWM-CDGS-XS-2024-0030-华西集采-简州大道</v>
      </c>
      <c r="R1708" s="29" t="str">
        <f>_xlfn._xlws.FILTER(辅助信息!D:D,辅助信息!E:E=B1708)</f>
        <v>华西简阳西城嘉苑</v>
      </c>
    </row>
    <row r="1709" hidden="1" spans="2:18">
      <c r="B1709" s="120" t="s">
        <v>81</v>
      </c>
      <c r="C1709" s="70">
        <v>45812</v>
      </c>
      <c r="D1709" s="120" t="str">
        <f>VLOOKUP(B1709,辅助信息!E:K,7,FALSE)</f>
        <v>JWDDCD2025060900080</v>
      </c>
      <c r="E1709" s="120" t="str">
        <f>VLOOKUP(F1709,辅助信息!A:B,2,FALSE)</f>
        <v>盘螺</v>
      </c>
      <c r="F1709" s="120" t="s">
        <v>40</v>
      </c>
      <c r="G1709" s="121">
        <v>3</v>
      </c>
      <c r="H1709" s="121">
        <f>_xlfn.XLOOKUP(C1709&amp;F1709&amp;I1709&amp;J1709,'[1]2025年已发货'!$F:$F&amp;'[1]2025年已发货'!$C:$C&amp;'[1]2025年已发货'!$G:$G&amp;'[1]2025年已发货'!$H:$H,'[1]2025年已发货'!$E:$E,"未发货")</f>
        <v>2.5</v>
      </c>
      <c r="I1709" s="120" t="str">
        <f>VLOOKUP(B1709,辅助信息!E:I,3,FALSE)</f>
        <v>（华西简阳西城嘉苑）四川省成都市简阳市简城街道高屋村</v>
      </c>
      <c r="J1709" s="120" t="str">
        <f>VLOOKUP(B1709,辅助信息!E:I,4,FALSE)</f>
        <v>张瀚镭</v>
      </c>
      <c r="K1709" s="120">
        <f>VLOOKUP(J1709,辅助信息!H:I,2,FALSE)</f>
        <v>15884666220</v>
      </c>
      <c r="L1709" s="122" t="str">
        <f>VLOOKUP(B1709,辅助信息!E:J,6,FALSE)</f>
        <v>现场禁止使用氢能源挂车！优先威钢发货,我方卸车,新老国标钢厂不加价可直发，因陕钢多次出现磅差，项目拒绝使用</v>
      </c>
      <c r="M1709" s="104">
        <v>45813</v>
      </c>
      <c r="O1709" s="62">
        <f ca="1" t="shared" si="95"/>
        <v>0</v>
      </c>
      <c r="P1709" s="62">
        <f ca="1" t="shared" si="96"/>
        <v>147</v>
      </c>
      <c r="Q1709" s="29" t="str">
        <f>VLOOKUP(B1709,辅助信息!E:M,9,FALSE)</f>
        <v>ZTWM-CDGS-XS-2024-0030-华西集采-简州大道</v>
      </c>
      <c r="R1709" s="29" t="str">
        <f>_xlfn._xlws.FILTER(辅助信息!D:D,辅助信息!E:E=B1709)</f>
        <v>华西简阳西城嘉苑</v>
      </c>
    </row>
    <row r="1710" hidden="1" spans="2:18">
      <c r="B1710" s="120" t="s">
        <v>81</v>
      </c>
      <c r="C1710" s="70">
        <v>45812</v>
      </c>
      <c r="D1710" s="120" t="str">
        <f>VLOOKUP(B1710,辅助信息!E:K,7,FALSE)</f>
        <v>JWDDCD2025060900080</v>
      </c>
      <c r="E1710" s="120" t="str">
        <f>VLOOKUP(F1710,辅助信息!A:B,2,FALSE)</f>
        <v>盘螺</v>
      </c>
      <c r="F1710" s="120" t="s">
        <v>41</v>
      </c>
      <c r="G1710" s="121">
        <v>12</v>
      </c>
      <c r="H1710" s="121">
        <f>_xlfn.XLOOKUP(C1710&amp;F1710&amp;I1710&amp;J1710,'[1]2025年已发货'!$F:$F&amp;'[1]2025年已发货'!$C:$C&amp;'[1]2025年已发货'!$G:$G&amp;'[1]2025年已发货'!$H:$H,'[1]2025年已发货'!$E:$E,"未发货")</f>
        <v>12</v>
      </c>
      <c r="I1710" s="120" t="str">
        <f>VLOOKUP(B1710,辅助信息!E:I,3,FALSE)</f>
        <v>（华西简阳西城嘉苑）四川省成都市简阳市简城街道高屋村</v>
      </c>
      <c r="J1710" s="120" t="str">
        <f>VLOOKUP(B1710,辅助信息!E:I,4,FALSE)</f>
        <v>张瀚镭</v>
      </c>
      <c r="K1710" s="120">
        <f>VLOOKUP(J1710,辅助信息!H:I,2,FALSE)</f>
        <v>15884666220</v>
      </c>
      <c r="L1710" s="122" t="str">
        <f>VLOOKUP(B1710,辅助信息!E:J,6,FALSE)</f>
        <v>现场禁止使用氢能源挂车！优先威钢发货,我方卸车,新老国标钢厂不加价可直发，因陕钢多次出现磅差，项目拒绝使用</v>
      </c>
      <c r="M1710" s="104">
        <v>45813</v>
      </c>
      <c r="O1710" s="62">
        <f ca="1" t="shared" si="95"/>
        <v>0</v>
      </c>
      <c r="P1710" s="62">
        <f ca="1" t="shared" si="96"/>
        <v>147</v>
      </c>
      <c r="Q1710" s="29" t="str">
        <f>VLOOKUP(B1710,辅助信息!E:M,9,FALSE)</f>
        <v>ZTWM-CDGS-XS-2024-0030-华西集采-简州大道</v>
      </c>
      <c r="R1710" s="29" t="str">
        <f>_xlfn._xlws.FILTER(辅助信息!D:D,辅助信息!E:E=B1710)</f>
        <v>华西简阳西城嘉苑</v>
      </c>
    </row>
    <row r="1711" hidden="1" spans="2:18">
      <c r="B1711" s="120" t="s">
        <v>81</v>
      </c>
      <c r="C1711" s="70">
        <v>45812</v>
      </c>
      <c r="D1711" s="120" t="str">
        <f>VLOOKUP(B1711,辅助信息!E:K,7,FALSE)</f>
        <v>JWDDCD2025060900080</v>
      </c>
      <c r="E1711" s="120" t="str">
        <f>VLOOKUP(F1711,辅助信息!A:B,2,FALSE)</f>
        <v>盘螺</v>
      </c>
      <c r="F1711" s="120" t="s">
        <v>26</v>
      </c>
      <c r="G1711" s="121">
        <v>8</v>
      </c>
      <c r="H1711" s="121">
        <f>_xlfn.XLOOKUP(C1711&amp;F1711&amp;I1711&amp;J1711,'[1]2025年已发货'!$F:$F&amp;'[1]2025年已发货'!$C:$C&amp;'[1]2025年已发货'!$G:$G&amp;'[1]2025年已发货'!$H:$H,'[1]2025年已发货'!$E:$E,"未发货")</f>
        <v>7</v>
      </c>
      <c r="I1711" s="120" t="str">
        <f>VLOOKUP(B1711,辅助信息!E:I,3,FALSE)</f>
        <v>（华西简阳西城嘉苑）四川省成都市简阳市简城街道高屋村</v>
      </c>
      <c r="J1711" s="120" t="str">
        <f>VLOOKUP(B1711,辅助信息!E:I,4,FALSE)</f>
        <v>张瀚镭</v>
      </c>
      <c r="K1711" s="120">
        <f>VLOOKUP(J1711,辅助信息!H:I,2,FALSE)</f>
        <v>15884666220</v>
      </c>
      <c r="L1711" s="122" t="str">
        <f>VLOOKUP(B1711,辅助信息!E:J,6,FALSE)</f>
        <v>现场禁止使用氢能源挂车！优先威钢发货,我方卸车,新老国标钢厂不加价可直发，因陕钢多次出现磅差，项目拒绝使用</v>
      </c>
      <c r="M1711" s="104">
        <v>45813</v>
      </c>
      <c r="O1711" s="62">
        <f ca="1" t="shared" si="95"/>
        <v>0</v>
      </c>
      <c r="P1711" s="62">
        <f ca="1" t="shared" si="96"/>
        <v>147</v>
      </c>
      <c r="Q1711" s="29" t="str">
        <f>VLOOKUP(B1711,辅助信息!E:M,9,FALSE)</f>
        <v>ZTWM-CDGS-XS-2024-0030-华西集采-简州大道</v>
      </c>
      <c r="R1711" s="29" t="str">
        <f>_xlfn._xlws.FILTER(辅助信息!D:D,辅助信息!E:E=B1711)</f>
        <v>华西简阳西城嘉苑</v>
      </c>
    </row>
    <row r="1712" hidden="1" spans="2:18">
      <c r="B1712" s="120" t="s">
        <v>81</v>
      </c>
      <c r="C1712" s="70">
        <v>45812</v>
      </c>
      <c r="D1712" s="120" t="str">
        <f>VLOOKUP(B1712,辅助信息!E:K,7,FALSE)</f>
        <v>JWDDCD2025060900080</v>
      </c>
      <c r="E1712" s="120" t="str">
        <f>VLOOKUP(F1712,辅助信息!A:B,2,FALSE)</f>
        <v>螺纹钢</v>
      </c>
      <c r="F1712" s="120" t="s">
        <v>19</v>
      </c>
      <c r="G1712" s="121">
        <v>72</v>
      </c>
      <c r="H1712" s="121">
        <v>62</v>
      </c>
      <c r="I1712" s="120" t="str">
        <f>VLOOKUP(B1712,辅助信息!E:I,3,FALSE)</f>
        <v>（华西简阳西城嘉苑）四川省成都市简阳市简城街道高屋村</v>
      </c>
      <c r="J1712" s="120" t="str">
        <f>VLOOKUP(B1712,辅助信息!E:I,4,FALSE)</f>
        <v>张瀚镭</v>
      </c>
      <c r="K1712" s="120">
        <f>VLOOKUP(J1712,辅助信息!H:I,2,FALSE)</f>
        <v>15884666220</v>
      </c>
      <c r="L1712" s="122" t="str">
        <f>VLOOKUP(B1712,辅助信息!E:J,6,FALSE)</f>
        <v>现场禁止使用氢能源挂车！优先威钢发货,我方卸车,新老国标钢厂不加价可直发，因陕钢多次出现磅差，项目拒绝使用</v>
      </c>
      <c r="M1712" s="104">
        <v>45813</v>
      </c>
      <c r="O1712" s="62">
        <f ca="1" t="shared" si="95"/>
        <v>0</v>
      </c>
      <c r="P1712" s="62">
        <f ca="1" t="shared" si="96"/>
        <v>147</v>
      </c>
      <c r="Q1712" s="29" t="str">
        <f>VLOOKUP(B1712,辅助信息!E:M,9,FALSE)</f>
        <v>ZTWM-CDGS-XS-2024-0030-华西集采-简州大道</v>
      </c>
      <c r="R1712" s="29" t="str">
        <f>_xlfn._xlws.FILTER(辅助信息!D:D,辅助信息!E:E=B1712)</f>
        <v>华西简阳西城嘉苑</v>
      </c>
    </row>
    <row r="1713" hidden="1" spans="2:18">
      <c r="B1713" s="120" t="s">
        <v>81</v>
      </c>
      <c r="C1713" s="70">
        <v>45812</v>
      </c>
      <c r="D1713" s="120" t="str">
        <f>VLOOKUP(B1713,辅助信息!E:K,7,FALSE)</f>
        <v>JWDDCD2025060900080</v>
      </c>
      <c r="E1713" s="120" t="str">
        <f>VLOOKUP(F1713,辅助信息!A:B,2,FALSE)</f>
        <v>螺纹钢</v>
      </c>
      <c r="F1713" s="120" t="s">
        <v>32</v>
      </c>
      <c r="G1713" s="121">
        <v>12</v>
      </c>
      <c r="H1713" s="121">
        <f>_xlfn.XLOOKUP(C1713&amp;F1713&amp;I1713&amp;J1713,'[1]2025年已发货'!$F:$F&amp;'[1]2025年已发货'!$C:$C&amp;'[1]2025年已发货'!$G:$G&amp;'[1]2025年已发货'!$H:$H,'[1]2025年已发货'!$E:$E,"未发货")</f>
        <v>12</v>
      </c>
      <c r="I1713" s="120" t="str">
        <f>VLOOKUP(B1713,辅助信息!E:I,3,FALSE)</f>
        <v>（华西简阳西城嘉苑）四川省成都市简阳市简城街道高屋村</v>
      </c>
      <c r="J1713" s="120" t="str">
        <f>VLOOKUP(B1713,辅助信息!E:I,4,FALSE)</f>
        <v>张瀚镭</v>
      </c>
      <c r="K1713" s="120">
        <f>VLOOKUP(J1713,辅助信息!H:I,2,FALSE)</f>
        <v>15884666220</v>
      </c>
      <c r="L1713" s="122" t="str">
        <f>VLOOKUP(B1713,辅助信息!E:J,6,FALSE)</f>
        <v>现场禁止使用氢能源挂车！优先威钢发货,我方卸车,新老国标钢厂不加价可直发，因陕钢多次出现磅差，项目拒绝使用</v>
      </c>
      <c r="M1713" s="104">
        <v>45813</v>
      </c>
      <c r="O1713" s="62">
        <f ca="1" t="shared" si="95"/>
        <v>0</v>
      </c>
      <c r="P1713" s="62">
        <f ca="1" t="shared" si="96"/>
        <v>147</v>
      </c>
      <c r="Q1713" s="29" t="str">
        <f>VLOOKUP(B1713,辅助信息!E:M,9,FALSE)</f>
        <v>ZTWM-CDGS-XS-2024-0030-华西集采-简州大道</v>
      </c>
      <c r="R1713" s="29" t="str">
        <f>_xlfn._xlws.FILTER(辅助信息!D:D,辅助信息!E:E=B1713)</f>
        <v>华西简阳西城嘉苑</v>
      </c>
    </row>
    <row r="1714" hidden="1" spans="2:18">
      <c r="B1714" s="120" t="s">
        <v>81</v>
      </c>
      <c r="C1714" s="70">
        <v>45812</v>
      </c>
      <c r="D1714" s="120" t="str">
        <f>VLOOKUP(B1714,辅助信息!E:K,7,FALSE)</f>
        <v>JWDDCD2025060900080</v>
      </c>
      <c r="E1714" s="120" t="str">
        <f>VLOOKUP(F1714,辅助信息!A:B,2,FALSE)</f>
        <v>螺纹钢</v>
      </c>
      <c r="F1714" s="120" t="s">
        <v>30</v>
      </c>
      <c r="G1714" s="121">
        <v>7</v>
      </c>
      <c r="H1714" s="121">
        <f>_xlfn.XLOOKUP(C1714&amp;F1714&amp;I1714&amp;J1714,'[1]2025年已发货'!$F:$F&amp;'[1]2025年已发货'!$C:$C&amp;'[1]2025年已发货'!$G:$G&amp;'[1]2025年已发货'!$H:$H,'[1]2025年已发货'!$E:$E,"未发货")</f>
        <v>6</v>
      </c>
      <c r="I1714" s="120" t="str">
        <f>VLOOKUP(B1714,辅助信息!E:I,3,FALSE)</f>
        <v>（华西简阳西城嘉苑）四川省成都市简阳市简城街道高屋村</v>
      </c>
      <c r="J1714" s="120" t="str">
        <f>VLOOKUP(B1714,辅助信息!E:I,4,FALSE)</f>
        <v>张瀚镭</v>
      </c>
      <c r="K1714" s="120">
        <f>VLOOKUP(J1714,辅助信息!H:I,2,FALSE)</f>
        <v>15884666220</v>
      </c>
      <c r="L1714" s="122" t="str">
        <f>VLOOKUP(B1714,辅助信息!E:J,6,FALSE)</f>
        <v>现场禁止使用氢能源挂车！优先威钢发货,我方卸车,新老国标钢厂不加价可直发，因陕钢多次出现磅差，项目拒绝使用</v>
      </c>
      <c r="M1714" s="104">
        <v>45813</v>
      </c>
      <c r="O1714" s="62">
        <f ca="1" t="shared" si="95"/>
        <v>0</v>
      </c>
      <c r="P1714" s="62">
        <f ca="1" t="shared" si="96"/>
        <v>147</v>
      </c>
      <c r="Q1714" s="29" t="str">
        <f>VLOOKUP(B1714,辅助信息!E:M,9,FALSE)</f>
        <v>ZTWM-CDGS-XS-2024-0030-华西集采-简州大道</v>
      </c>
      <c r="R1714" s="29" t="str">
        <f>_xlfn._xlws.FILTER(辅助信息!D:D,辅助信息!E:E=B1714)</f>
        <v>华西简阳西城嘉苑</v>
      </c>
    </row>
    <row r="1715" hidden="1" spans="2:18">
      <c r="B1715" s="120" t="s">
        <v>81</v>
      </c>
      <c r="C1715" s="70">
        <v>45812</v>
      </c>
      <c r="D1715" s="120" t="str">
        <f>VLOOKUP(B1715,辅助信息!E:K,7,FALSE)</f>
        <v>JWDDCD2025060900080</v>
      </c>
      <c r="E1715" s="120" t="str">
        <f>VLOOKUP(F1715,辅助信息!A:B,2,FALSE)</f>
        <v>螺纹钢</v>
      </c>
      <c r="F1715" s="120" t="s">
        <v>33</v>
      </c>
      <c r="G1715" s="121">
        <v>18</v>
      </c>
      <c r="H1715" s="121">
        <f>_xlfn.XLOOKUP(C1715&amp;F1715&amp;I1715&amp;J1715,'[1]2025年已发货'!$F:$F&amp;'[1]2025年已发货'!$C:$C&amp;'[1]2025年已发货'!$G:$G&amp;'[1]2025年已发货'!$H:$H,'[1]2025年已发货'!$E:$E,"未发货")</f>
        <v>18</v>
      </c>
      <c r="I1715" s="120" t="str">
        <f>VLOOKUP(B1715,辅助信息!E:I,3,FALSE)</f>
        <v>（华西简阳西城嘉苑）四川省成都市简阳市简城街道高屋村</v>
      </c>
      <c r="J1715" s="120" t="str">
        <f>VLOOKUP(B1715,辅助信息!E:I,4,FALSE)</f>
        <v>张瀚镭</v>
      </c>
      <c r="K1715" s="120">
        <f>VLOOKUP(J1715,辅助信息!H:I,2,FALSE)</f>
        <v>15884666220</v>
      </c>
      <c r="L1715" s="122" t="str">
        <f>VLOOKUP(B1715,辅助信息!E:J,6,FALSE)</f>
        <v>现场禁止使用氢能源挂车！优先威钢发货,我方卸车,新老国标钢厂不加价可直发，因陕钢多次出现磅差，项目拒绝使用</v>
      </c>
      <c r="M1715" s="104">
        <v>45813</v>
      </c>
      <c r="O1715" s="62">
        <f ca="1" t="shared" si="95"/>
        <v>0</v>
      </c>
      <c r="P1715" s="62">
        <f ca="1" t="shared" si="96"/>
        <v>147</v>
      </c>
      <c r="Q1715" s="29" t="str">
        <f>VLOOKUP(B1715,辅助信息!E:M,9,FALSE)</f>
        <v>ZTWM-CDGS-XS-2024-0030-华西集采-简州大道</v>
      </c>
      <c r="R1715" s="29" t="str">
        <f>_xlfn._xlws.FILTER(辅助信息!D:D,辅助信息!E:E=B1715)</f>
        <v>华西简阳西城嘉苑</v>
      </c>
    </row>
    <row r="1716" hidden="1" spans="2:18">
      <c r="B1716" s="120" t="s">
        <v>81</v>
      </c>
      <c r="C1716" s="70">
        <v>45812</v>
      </c>
      <c r="D1716" s="120" t="str">
        <f>VLOOKUP(B1716,辅助信息!E:K,7,FALSE)</f>
        <v>JWDDCD2025060900080</v>
      </c>
      <c r="E1716" s="120" t="str">
        <f>VLOOKUP(F1716,辅助信息!A:B,2,FALSE)</f>
        <v>螺纹钢</v>
      </c>
      <c r="F1716" s="120" t="s">
        <v>28</v>
      </c>
      <c r="G1716" s="121">
        <v>8</v>
      </c>
      <c r="H1716" s="121">
        <f>_xlfn.XLOOKUP(C1716&amp;F1716&amp;I1716&amp;J1716,'[1]2025年已发货'!$F:$F&amp;'[1]2025年已发货'!$C:$C&amp;'[1]2025年已发货'!$G:$G&amp;'[1]2025年已发货'!$H:$H,'[1]2025年已发货'!$E:$E,"未发货")</f>
        <v>8</v>
      </c>
      <c r="I1716" s="120" t="str">
        <f>VLOOKUP(B1716,辅助信息!E:I,3,FALSE)</f>
        <v>（华西简阳西城嘉苑）四川省成都市简阳市简城街道高屋村</v>
      </c>
      <c r="J1716" s="120" t="str">
        <f>VLOOKUP(B1716,辅助信息!E:I,4,FALSE)</f>
        <v>张瀚镭</v>
      </c>
      <c r="K1716" s="120">
        <f>VLOOKUP(J1716,辅助信息!H:I,2,FALSE)</f>
        <v>15884666220</v>
      </c>
      <c r="L1716" s="122" t="str">
        <f>VLOOKUP(B1716,辅助信息!E:J,6,FALSE)</f>
        <v>现场禁止使用氢能源挂车！优先威钢发货,我方卸车,新老国标钢厂不加价可直发，因陕钢多次出现磅差，项目拒绝使用</v>
      </c>
      <c r="M1716" s="104">
        <v>45813</v>
      </c>
      <c r="O1716" s="62">
        <f ca="1" t="shared" si="95"/>
        <v>0</v>
      </c>
      <c r="P1716" s="62">
        <f ca="1" t="shared" si="96"/>
        <v>147</v>
      </c>
      <c r="Q1716" s="29" t="str">
        <f>VLOOKUP(B1716,辅助信息!E:M,9,FALSE)</f>
        <v>ZTWM-CDGS-XS-2024-0030-华西集采-简州大道</v>
      </c>
      <c r="R1716" s="29" t="str">
        <f>_xlfn._xlws.FILTER(辅助信息!D:D,辅助信息!E:E=B1716)</f>
        <v>华西简阳西城嘉苑</v>
      </c>
    </row>
    <row r="1717" hidden="1" spans="2:18">
      <c r="B1717" s="120" t="s">
        <v>81</v>
      </c>
      <c r="C1717" s="70">
        <v>45812</v>
      </c>
      <c r="D1717" s="120" t="str">
        <f>VLOOKUP(B1717,辅助信息!E:K,7,FALSE)</f>
        <v>JWDDCD2025060900080</v>
      </c>
      <c r="E1717" s="120" t="str">
        <f>VLOOKUP(F1717,辅助信息!A:B,2,FALSE)</f>
        <v>螺纹钢</v>
      </c>
      <c r="F1717" s="120" t="s">
        <v>18</v>
      </c>
      <c r="G1717" s="121">
        <v>13</v>
      </c>
      <c r="H1717" s="121">
        <f>_xlfn.XLOOKUP(C1717&amp;F1717&amp;I1717&amp;J1717,'[1]2025年已发货'!$F:$F&amp;'[1]2025年已发货'!$C:$C&amp;'[1]2025年已发货'!$G:$G&amp;'[1]2025年已发货'!$H:$H,'[1]2025年已发货'!$E:$E,"未发货")</f>
        <v>12</v>
      </c>
      <c r="I1717" s="120" t="str">
        <f>VLOOKUP(B1717,辅助信息!E:I,3,FALSE)</f>
        <v>（华西简阳西城嘉苑）四川省成都市简阳市简城街道高屋村</v>
      </c>
      <c r="J1717" s="120" t="str">
        <f>VLOOKUP(B1717,辅助信息!E:I,4,FALSE)</f>
        <v>张瀚镭</v>
      </c>
      <c r="K1717" s="120">
        <f>VLOOKUP(J1717,辅助信息!H:I,2,FALSE)</f>
        <v>15884666220</v>
      </c>
      <c r="L1717" s="122" t="str">
        <f>VLOOKUP(B1717,辅助信息!E:J,6,FALSE)</f>
        <v>现场禁止使用氢能源挂车！优先威钢发货,我方卸车,新老国标钢厂不加价可直发，因陕钢多次出现磅差，项目拒绝使用</v>
      </c>
      <c r="M1717" s="104">
        <v>45813</v>
      </c>
      <c r="O1717" s="62">
        <f ca="1" t="shared" si="95"/>
        <v>0</v>
      </c>
      <c r="P1717" s="62">
        <f ca="1" t="shared" si="96"/>
        <v>147</v>
      </c>
      <c r="Q1717" s="29" t="str">
        <f>VLOOKUP(B1717,辅助信息!E:M,9,FALSE)</f>
        <v>ZTWM-CDGS-XS-2024-0030-华西集采-简州大道</v>
      </c>
      <c r="R1717" s="29" t="str">
        <f>_xlfn._xlws.FILTER(辅助信息!D:D,辅助信息!E:E=B1717)</f>
        <v>华西简阳西城嘉苑</v>
      </c>
    </row>
    <row r="1718" hidden="1" spans="2:18">
      <c r="B1718" s="120" t="s">
        <v>81</v>
      </c>
      <c r="C1718" s="70">
        <v>45812</v>
      </c>
      <c r="D1718" s="120" t="str">
        <f>VLOOKUP(B1718,辅助信息!E:K,7,FALSE)</f>
        <v>JWDDCD2025060900080</v>
      </c>
      <c r="E1718" s="120" t="str">
        <f>VLOOKUP(F1718,辅助信息!A:B,2,FALSE)</f>
        <v>螺纹钢</v>
      </c>
      <c r="F1718" s="120" t="s">
        <v>46</v>
      </c>
      <c r="G1718" s="121">
        <v>5</v>
      </c>
      <c r="H1718" s="121">
        <f>_xlfn.XLOOKUP(C1718&amp;F1718&amp;I1718&amp;J1718,'[1]2025年已发货'!$F:$F&amp;'[1]2025年已发货'!$C:$C&amp;'[1]2025年已发货'!$G:$G&amp;'[1]2025年已发货'!$H:$H,'[1]2025年已发货'!$E:$E,"未发货")</f>
        <v>5</v>
      </c>
      <c r="I1718" s="120" t="str">
        <f>VLOOKUP(B1718,辅助信息!E:I,3,FALSE)</f>
        <v>（华西简阳西城嘉苑）四川省成都市简阳市简城街道高屋村</v>
      </c>
      <c r="J1718" s="120" t="str">
        <f>VLOOKUP(B1718,辅助信息!E:I,4,FALSE)</f>
        <v>张瀚镭</v>
      </c>
      <c r="K1718" s="120">
        <f>VLOOKUP(J1718,辅助信息!H:I,2,FALSE)</f>
        <v>15884666220</v>
      </c>
      <c r="L1718" s="122" t="str">
        <f>VLOOKUP(B1718,辅助信息!E:J,6,FALSE)</f>
        <v>现场禁止使用氢能源挂车！优先威钢发货,我方卸车,新老国标钢厂不加价可直发，因陕钢多次出现磅差，项目拒绝使用</v>
      </c>
      <c r="M1718" s="104">
        <v>45813</v>
      </c>
      <c r="O1718" s="62">
        <f ca="1" t="shared" si="95"/>
        <v>0</v>
      </c>
      <c r="P1718" s="62">
        <f ca="1" t="shared" si="96"/>
        <v>147</v>
      </c>
      <c r="Q1718" s="29" t="str">
        <f>VLOOKUP(B1718,辅助信息!E:M,9,FALSE)</f>
        <v>ZTWM-CDGS-XS-2024-0030-华西集采-简州大道</v>
      </c>
      <c r="R1718" s="29" t="str">
        <f>_xlfn._xlws.FILTER(辅助信息!D:D,辅助信息!E:E=B1718)</f>
        <v>华西简阳西城嘉苑</v>
      </c>
    </row>
    <row r="1719" hidden="1" spans="2:18">
      <c r="B1719" s="40" t="s">
        <v>159</v>
      </c>
      <c r="C1719" s="70">
        <v>45812</v>
      </c>
      <c r="D1719" s="120" t="str">
        <f>VLOOKUP(B1719,辅助信息!E:K,7,FALSE)</f>
        <v>JWDDCD2025052800131</v>
      </c>
      <c r="E1719" s="120" t="str">
        <f>VLOOKUP(F1719,辅助信息!A:B,2,FALSE)</f>
        <v>高线</v>
      </c>
      <c r="F1719" s="40" t="s">
        <v>57</v>
      </c>
      <c r="G1719" s="121">
        <v>17.5</v>
      </c>
      <c r="H1719" s="121" t="str">
        <f>_xlfn.XLOOKUP(C1719&amp;F1719&amp;I1719&amp;J1719,'[1]2025年已发货'!$F:$F&amp;'[1]2025年已发货'!$C:$C&amp;'[1]2025年已发货'!$G:$G&amp;'[1]2025年已发货'!$H:$H,'[1]2025年已发货'!$E:$E,"未发货")</f>
        <v>未发货</v>
      </c>
      <c r="I1719" s="120" t="str">
        <f>VLOOKUP(B1719,辅助信息!E:I,3,FALSE)</f>
        <v>（商投建工达州中医药科技园-3工区）达州市通川区达州中医药职业学院犀牛大道北段</v>
      </c>
      <c r="J1719" s="120" t="str">
        <f>VLOOKUP(B1719,辅助信息!E:I,4,FALSE)</f>
        <v>程黄刚</v>
      </c>
      <c r="K1719" s="120">
        <f>VLOOKUP(J1719,辅助信息!H:I,2,FALSE)</f>
        <v>15108211617</v>
      </c>
      <c r="L1719" s="122" t="str">
        <f>VLOOKUP(B1719,辅助信息!E:J,6,FALSE)</f>
        <v>控制炉批号！多了现场不收！,优先安排达钢,提前联系到场规格及数量</v>
      </c>
      <c r="M1719" s="104">
        <v>45813</v>
      </c>
      <c r="O1719" s="62">
        <f ca="1" t="shared" si="95"/>
        <v>0</v>
      </c>
      <c r="P1719" s="62">
        <f ca="1" t="shared" si="96"/>
        <v>147</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0">
        <v>45812</v>
      </c>
      <c r="D1720" s="120" t="str">
        <f>VLOOKUP(B1720,辅助信息!E:K,7,FALSE)</f>
        <v>JWDDCD2025052800131</v>
      </c>
      <c r="E1720" s="120" t="str">
        <f>VLOOKUP(F1720,辅助信息!A:B,2,FALSE)</f>
        <v>盘螺</v>
      </c>
      <c r="F1720" s="40" t="s">
        <v>40</v>
      </c>
      <c r="G1720" s="121">
        <v>17.5</v>
      </c>
      <c r="H1720" s="121">
        <f>_xlfn.XLOOKUP(C1720&amp;F1720&amp;I1720&amp;J1720,'[1]2025年已发货'!$F:$F&amp;'[1]2025年已发货'!$C:$C&amp;'[1]2025年已发货'!$G:$G&amp;'[1]2025年已发货'!$H:$H,'[1]2025年已发货'!$E:$E,"未发货")</f>
        <v>17</v>
      </c>
      <c r="I1720" s="120" t="str">
        <f>VLOOKUP(B1720,辅助信息!E:I,3,FALSE)</f>
        <v>（商投建工达州中医药科技园-3工区）达州市通川区达州中医药职业学院犀牛大道北段</v>
      </c>
      <c r="J1720" s="120" t="str">
        <f>VLOOKUP(B1720,辅助信息!E:I,4,FALSE)</f>
        <v>程黄刚</v>
      </c>
      <c r="K1720" s="120">
        <f>VLOOKUP(J1720,辅助信息!H:I,2,FALSE)</f>
        <v>15108211617</v>
      </c>
      <c r="L1720" s="122" t="str">
        <f>VLOOKUP(B1720,辅助信息!E:J,6,FALSE)</f>
        <v>控制炉批号！多了现场不收！,优先安排达钢,提前联系到场规格及数量</v>
      </c>
      <c r="M1720" s="104">
        <v>45813</v>
      </c>
      <c r="O1720" s="62">
        <f ca="1" t="shared" si="95"/>
        <v>0</v>
      </c>
      <c r="P1720" s="62">
        <f ca="1" t="shared" si="96"/>
        <v>147</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0">
        <v>45812</v>
      </c>
      <c r="D1721" s="120" t="str">
        <f>VLOOKUP(B1721,辅助信息!E:K,7,FALSE)</f>
        <v>JWDDCD2025052800131</v>
      </c>
      <c r="E1721" s="120" t="str">
        <f>VLOOKUP(F1721,辅助信息!A:B,2,FALSE)</f>
        <v>盘螺</v>
      </c>
      <c r="F1721" s="40" t="s">
        <v>41</v>
      </c>
      <c r="G1721" s="121">
        <v>25</v>
      </c>
      <c r="H1721" s="121">
        <f>_xlfn.XLOOKUP(C1721&amp;F1721&amp;I1721&amp;J1721,'[1]2025年已发货'!$F:$F&amp;'[1]2025年已发货'!$C:$C&amp;'[1]2025年已发货'!$G:$G&amp;'[1]2025年已发货'!$H:$H,'[1]2025年已发货'!$E:$E,"未发货")</f>
        <v>25</v>
      </c>
      <c r="I1721" s="120" t="str">
        <f>VLOOKUP(B1721,辅助信息!E:I,3,FALSE)</f>
        <v>（商投建工达州中医药科技园-3工区）达州市通川区达州中医药职业学院犀牛大道北段</v>
      </c>
      <c r="J1721" s="120" t="str">
        <f>VLOOKUP(B1721,辅助信息!E:I,4,FALSE)</f>
        <v>程黄刚</v>
      </c>
      <c r="K1721" s="120">
        <f>VLOOKUP(J1721,辅助信息!H:I,2,FALSE)</f>
        <v>15108211617</v>
      </c>
      <c r="L1721" s="122" t="str">
        <f>VLOOKUP(B1721,辅助信息!E:J,6,FALSE)</f>
        <v>控制炉批号！多了现场不收！,优先安排达钢,提前联系到场规格及数量</v>
      </c>
      <c r="M1721" s="104">
        <v>45813</v>
      </c>
      <c r="O1721" s="62">
        <f ca="1" t="shared" si="95"/>
        <v>0</v>
      </c>
      <c r="P1721" s="62">
        <f ca="1" t="shared" si="96"/>
        <v>147</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0">
        <v>45812</v>
      </c>
      <c r="D1722" s="120" t="str">
        <f>VLOOKUP(B1722,辅助信息!E:K,7,FALSE)</f>
        <v>JWDDCD2025052800131</v>
      </c>
      <c r="E1722" s="120" t="str">
        <f>VLOOKUP(F1722,辅助信息!A:B,2,FALSE)</f>
        <v>螺纹钢</v>
      </c>
      <c r="F1722" s="40" t="s">
        <v>30</v>
      </c>
      <c r="G1722" s="121">
        <v>6</v>
      </c>
      <c r="H1722" s="121">
        <f>_xlfn.XLOOKUP(C1722&amp;F1722&amp;I1722&amp;J1722,'[1]2025年已发货'!$F:$F&amp;'[1]2025年已发货'!$C:$C&amp;'[1]2025年已发货'!$G:$G&amp;'[1]2025年已发货'!$H:$H,'[1]2025年已发货'!$E:$E,"未发货")</f>
        <v>6</v>
      </c>
      <c r="I1722" s="120" t="str">
        <f>VLOOKUP(B1722,辅助信息!E:I,3,FALSE)</f>
        <v>（商投建工达州中医药科技园-3工区）达州市通川区达州中医药职业学院犀牛大道北段</v>
      </c>
      <c r="J1722" s="120" t="str">
        <f>VLOOKUP(B1722,辅助信息!E:I,4,FALSE)</f>
        <v>程黄刚</v>
      </c>
      <c r="K1722" s="120">
        <f>VLOOKUP(J1722,辅助信息!H:I,2,FALSE)</f>
        <v>15108211617</v>
      </c>
      <c r="L1722" s="122" t="str">
        <f>VLOOKUP(B1722,辅助信息!E:J,6,FALSE)</f>
        <v>控制炉批号！多了现场不收！,优先安排达钢,提前联系到场规格及数量</v>
      </c>
      <c r="M1722" s="104">
        <v>45813</v>
      </c>
      <c r="O1722" s="62">
        <f ca="1" t="shared" si="95"/>
        <v>0</v>
      </c>
      <c r="P1722" s="62">
        <f ca="1" t="shared" si="96"/>
        <v>147</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0">
        <v>45812</v>
      </c>
      <c r="D1723" s="120" t="str">
        <f>VLOOKUP(B1723,辅助信息!E:K,7,FALSE)</f>
        <v>JWDDCD2025052800131</v>
      </c>
      <c r="E1723" s="120" t="str">
        <f>VLOOKUP(F1723,辅助信息!A:B,2,FALSE)</f>
        <v>螺纹钢</v>
      </c>
      <c r="F1723" s="40" t="s">
        <v>66</v>
      </c>
      <c r="G1723" s="121">
        <v>6</v>
      </c>
      <c r="H1723" s="121" t="str">
        <f>_xlfn.XLOOKUP(C1723&amp;F1723&amp;I1723&amp;J1723,'[1]2025年已发货'!$F:$F&amp;'[1]2025年已发货'!$C:$C&amp;'[1]2025年已发货'!$G:$G&amp;'[1]2025年已发货'!$H:$H,'[1]2025年已发货'!$E:$E,"未发货")</f>
        <v>未发货</v>
      </c>
      <c r="I1723" s="120" t="str">
        <f>VLOOKUP(B1723,辅助信息!E:I,3,FALSE)</f>
        <v>（商投建工达州中医药科技园-3工区）达州市通川区达州中医药职业学院犀牛大道北段</v>
      </c>
      <c r="J1723" s="120" t="str">
        <f>VLOOKUP(B1723,辅助信息!E:I,4,FALSE)</f>
        <v>程黄刚</v>
      </c>
      <c r="K1723" s="120">
        <f>VLOOKUP(J1723,辅助信息!H:I,2,FALSE)</f>
        <v>15108211617</v>
      </c>
      <c r="L1723" s="122" t="str">
        <f>VLOOKUP(B1723,辅助信息!E:J,6,FALSE)</f>
        <v>控制炉批号！多了现场不收！,优先安排达钢,提前联系到场规格及数量</v>
      </c>
      <c r="M1723" s="104">
        <v>45813</v>
      </c>
      <c r="O1723" s="62">
        <f ca="1" t="shared" si="95"/>
        <v>0</v>
      </c>
      <c r="P1723" s="62">
        <f ca="1" t="shared" si="96"/>
        <v>147</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0">
        <v>45812</v>
      </c>
      <c r="D1724" s="120" t="str">
        <f>VLOOKUP(B1724,辅助信息!E:K,7,FALSE)</f>
        <v>JWDDCD2025052800131</v>
      </c>
      <c r="E1724" s="120" t="str">
        <f>VLOOKUP(F1724,辅助信息!A:B,2,FALSE)</f>
        <v>螺纹钢</v>
      </c>
      <c r="F1724" s="40" t="s">
        <v>82</v>
      </c>
      <c r="G1724" s="121">
        <v>3</v>
      </c>
      <c r="H1724" s="121" t="str">
        <f>_xlfn.XLOOKUP(C1724&amp;F1724&amp;I1724&amp;J1724,'[1]2025年已发货'!$F:$F&amp;'[1]2025年已发货'!$C:$C&amp;'[1]2025年已发货'!$G:$G&amp;'[1]2025年已发货'!$H:$H,'[1]2025年已发货'!$E:$E,"未发货")</f>
        <v>未发货</v>
      </c>
      <c r="I1724" s="120" t="str">
        <f>VLOOKUP(B1724,辅助信息!E:I,3,FALSE)</f>
        <v>（商投建工达州中医药科技园-3工区）达州市通川区达州中医药职业学院犀牛大道北段</v>
      </c>
      <c r="J1724" s="120" t="str">
        <f>VLOOKUP(B1724,辅助信息!E:I,4,FALSE)</f>
        <v>程黄刚</v>
      </c>
      <c r="K1724" s="120">
        <f>VLOOKUP(J1724,辅助信息!H:I,2,FALSE)</f>
        <v>15108211617</v>
      </c>
      <c r="L1724" s="122" t="str">
        <f>VLOOKUP(B1724,辅助信息!E:J,6,FALSE)</f>
        <v>控制炉批号！多了现场不收！,优先安排达钢,提前联系到场规格及数量</v>
      </c>
      <c r="M1724" s="104">
        <v>45813</v>
      </c>
      <c r="O1724" s="62">
        <f ca="1" t="shared" si="95"/>
        <v>0</v>
      </c>
      <c r="P1724" s="62">
        <f ca="1" t="shared" si="96"/>
        <v>147</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0">
        <v>45812</v>
      </c>
      <c r="D1725" s="120" t="str">
        <f>VLOOKUP(B1725,辅助信息!E:K,7,FALSE)</f>
        <v>JWDDCD2025052800131</v>
      </c>
      <c r="E1725" s="120" t="str">
        <f>VLOOKUP(F1725,辅助信息!A:B,2,FALSE)</f>
        <v>螺纹钢</v>
      </c>
      <c r="F1725" s="40" t="s">
        <v>45</v>
      </c>
      <c r="G1725" s="121">
        <v>6</v>
      </c>
      <c r="H1725" s="121" t="str">
        <f>_xlfn.XLOOKUP(C1725&amp;F1725&amp;I1725&amp;J1725,'[1]2025年已发货'!$F:$F&amp;'[1]2025年已发货'!$C:$C&amp;'[1]2025年已发货'!$G:$G&amp;'[1]2025年已发货'!$H:$H,'[1]2025年已发货'!$E:$E,"未发货")</f>
        <v>未发货</v>
      </c>
      <c r="I1725" s="120" t="str">
        <f>VLOOKUP(B1725,辅助信息!E:I,3,FALSE)</f>
        <v>（商投建工达州中医药科技园-3工区）达州市通川区达州中医药职业学院犀牛大道北段</v>
      </c>
      <c r="J1725" s="120" t="str">
        <f>VLOOKUP(B1725,辅助信息!E:I,4,FALSE)</f>
        <v>程黄刚</v>
      </c>
      <c r="K1725" s="120">
        <f>VLOOKUP(J1725,辅助信息!H:I,2,FALSE)</f>
        <v>15108211617</v>
      </c>
      <c r="L1725" s="122" t="str">
        <f>VLOOKUP(B1725,辅助信息!E:J,6,FALSE)</f>
        <v>控制炉批号！多了现场不收！,优先安排达钢,提前联系到场规格及数量</v>
      </c>
      <c r="M1725" s="104">
        <v>45813</v>
      </c>
      <c r="O1725" s="62">
        <f ca="1" t="shared" si="95"/>
        <v>0</v>
      </c>
      <c r="P1725" s="62">
        <f ca="1" t="shared" si="96"/>
        <v>147</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0">
        <v>45812</v>
      </c>
      <c r="D1726" s="120" t="str">
        <f>VLOOKUP(B1726,辅助信息!E:K,7,FALSE)</f>
        <v>JWDDCD2025052800131</v>
      </c>
      <c r="E1726" s="120" t="str">
        <f>VLOOKUP(F1726,辅助信息!A:B,2,FALSE)</f>
        <v>螺纹钢</v>
      </c>
      <c r="F1726" s="40" t="s">
        <v>21</v>
      </c>
      <c r="G1726" s="121">
        <v>9</v>
      </c>
      <c r="H1726" s="121" t="str">
        <f>_xlfn.XLOOKUP(C1726&amp;F1726&amp;I1726&amp;J1726,'[1]2025年已发货'!$F:$F&amp;'[1]2025年已发货'!$C:$C&amp;'[1]2025年已发货'!$G:$G&amp;'[1]2025年已发货'!$H:$H,'[1]2025年已发货'!$E:$E,"未发货")</f>
        <v>未发货</v>
      </c>
      <c r="I1726" s="120" t="str">
        <f>VLOOKUP(B1726,辅助信息!E:I,3,FALSE)</f>
        <v>（商投建工达州中医药科技园-3工区）达州市通川区达州中医药职业学院犀牛大道北段</v>
      </c>
      <c r="J1726" s="120" t="str">
        <f>VLOOKUP(B1726,辅助信息!E:I,4,FALSE)</f>
        <v>程黄刚</v>
      </c>
      <c r="K1726" s="120">
        <f>VLOOKUP(J1726,辅助信息!H:I,2,FALSE)</f>
        <v>15108211617</v>
      </c>
      <c r="L1726" s="122" t="str">
        <f>VLOOKUP(B1726,辅助信息!E:J,6,FALSE)</f>
        <v>控制炉批号！多了现场不收！,优先安排达钢,提前联系到场规格及数量</v>
      </c>
      <c r="M1726" s="104">
        <v>45813</v>
      </c>
      <c r="O1726" s="62">
        <f ca="1" t="shared" si="95"/>
        <v>0</v>
      </c>
      <c r="P1726" s="62">
        <f ca="1" t="shared" si="96"/>
        <v>147</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0">
        <v>45812</v>
      </c>
      <c r="D1727" s="120" t="str">
        <f>VLOOKUP(B1727,辅助信息!E:K,7,FALSE)</f>
        <v>JWDDCD2025052800131</v>
      </c>
      <c r="E1727" s="120" t="str">
        <f>VLOOKUP(F1727,辅助信息!A:B,2,FALSE)</f>
        <v>螺纹钢</v>
      </c>
      <c r="F1727" s="40" t="s">
        <v>58</v>
      </c>
      <c r="G1727" s="121">
        <v>18</v>
      </c>
      <c r="H1727" s="121">
        <f>_xlfn.XLOOKUP(C1727&amp;F1727&amp;I1727&amp;J1727,'[1]2025年已发货'!$F:$F&amp;'[1]2025年已发货'!$C:$C&amp;'[1]2025年已发货'!$G:$G&amp;'[1]2025年已发货'!$H:$H,'[1]2025年已发货'!$E:$E,"未发货")</f>
        <v>13</v>
      </c>
      <c r="I1727" s="120" t="str">
        <f>VLOOKUP(B1727,辅助信息!E:I,3,FALSE)</f>
        <v>（商投建工达州中医药科技园-3工区）达州市通川区达州中医药职业学院犀牛大道北段</v>
      </c>
      <c r="J1727" s="120" t="str">
        <f>VLOOKUP(B1727,辅助信息!E:I,4,FALSE)</f>
        <v>程黄刚</v>
      </c>
      <c r="K1727" s="120">
        <f>VLOOKUP(J1727,辅助信息!H:I,2,FALSE)</f>
        <v>15108211617</v>
      </c>
      <c r="L1727" s="122" t="str">
        <f>VLOOKUP(B1727,辅助信息!E:J,6,FALSE)</f>
        <v>控制炉批号！多了现场不收！,优先安排达钢,提前联系到场规格及数量</v>
      </c>
      <c r="M1727" s="104">
        <v>45813</v>
      </c>
      <c r="O1727" s="62">
        <f ca="1" t="shared" si="95"/>
        <v>0</v>
      </c>
      <c r="P1727" s="62">
        <f ca="1" t="shared" si="96"/>
        <v>147</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0">
        <v>45812</v>
      </c>
      <c r="D1728" s="120" t="str">
        <f>VLOOKUP(B1728,辅助信息!E:K,7,FALSE)</f>
        <v>JWDDCD2025052800131</v>
      </c>
      <c r="E1728" s="120" t="str">
        <f>VLOOKUP(F1728,辅助信息!A:B,2,FALSE)</f>
        <v>螺纹钢</v>
      </c>
      <c r="F1728" s="40" t="s">
        <v>46</v>
      </c>
      <c r="G1728" s="121">
        <v>30</v>
      </c>
      <c r="H1728" s="121">
        <f>_xlfn.XLOOKUP(C1728&amp;F1728&amp;I1728&amp;J1728,'[1]2025年已发货'!$F:$F&amp;'[1]2025年已发货'!$C:$C&amp;'[1]2025年已发货'!$G:$G&amp;'[1]2025年已发货'!$H:$H,'[1]2025年已发货'!$E:$E,"未发货")</f>
        <v>22</v>
      </c>
      <c r="I1728" s="120" t="str">
        <f>VLOOKUP(B1728,辅助信息!E:I,3,FALSE)</f>
        <v>（商投建工达州中医药科技园-3工区）达州市通川区达州中医药职业学院犀牛大道北段</v>
      </c>
      <c r="J1728" s="120" t="str">
        <f>VLOOKUP(B1728,辅助信息!E:I,4,FALSE)</f>
        <v>程黄刚</v>
      </c>
      <c r="K1728" s="120">
        <f>VLOOKUP(J1728,辅助信息!H:I,2,FALSE)</f>
        <v>15108211617</v>
      </c>
      <c r="L1728" s="122" t="str">
        <f>VLOOKUP(B1728,辅助信息!E:J,6,FALSE)</f>
        <v>控制炉批号！多了现场不收！,优先安排达钢,提前联系到场规格及数量</v>
      </c>
      <c r="M1728" s="104">
        <v>45813</v>
      </c>
      <c r="O1728" s="62">
        <f ca="1" t="shared" si="95"/>
        <v>0</v>
      </c>
      <c r="P1728" s="62">
        <f ca="1" t="shared" si="96"/>
        <v>147</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0">
        <v>45812</v>
      </c>
      <c r="D1729" s="120" t="str">
        <f>VLOOKUP(B1729,辅助信息!E:K,7,FALSE)</f>
        <v>JWDDCD2025052800131</v>
      </c>
      <c r="E1729" s="120" t="str">
        <f>VLOOKUP(F1729,辅助信息!A:B,2,FALSE)</f>
        <v>螺纹钢</v>
      </c>
      <c r="F1729" s="40" t="s">
        <v>22</v>
      </c>
      <c r="G1729" s="121">
        <v>9</v>
      </c>
      <c r="H1729" s="121" t="str">
        <f>_xlfn.XLOOKUP(C1729&amp;F1729&amp;I1729&amp;J1729,'[1]2025年已发货'!$F:$F&amp;'[1]2025年已发货'!$C:$C&amp;'[1]2025年已发货'!$G:$G&amp;'[1]2025年已发货'!$H:$H,'[1]2025年已发货'!$E:$E,"未发货")</f>
        <v>未发货</v>
      </c>
      <c r="I1729" s="120" t="str">
        <f>VLOOKUP(B1729,辅助信息!E:I,3,FALSE)</f>
        <v>（商投建工达州中医药科技园-3工区）达州市通川区达州中医药职业学院犀牛大道北段</v>
      </c>
      <c r="J1729" s="120" t="str">
        <f>VLOOKUP(B1729,辅助信息!E:I,4,FALSE)</f>
        <v>程黄刚</v>
      </c>
      <c r="K1729" s="120">
        <f>VLOOKUP(J1729,辅助信息!H:I,2,FALSE)</f>
        <v>15108211617</v>
      </c>
      <c r="L1729" s="122" t="str">
        <f>VLOOKUP(B1729,辅助信息!E:J,6,FALSE)</f>
        <v>控制炉批号！多了现场不收！,优先安排达钢,提前联系到场规格及数量</v>
      </c>
      <c r="M1729" s="104">
        <v>45813</v>
      </c>
      <c r="O1729" s="62">
        <f ca="1" t="shared" si="95"/>
        <v>0</v>
      </c>
      <c r="P1729" s="62">
        <f ca="1" t="shared" si="96"/>
        <v>147</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0">
        <v>45812</v>
      </c>
      <c r="D1730" s="120" t="str">
        <f>VLOOKUP(B1730,辅助信息!E:K,7,FALSE)</f>
        <v>JWDDCD2025071500024</v>
      </c>
      <c r="E1730" s="120" t="str">
        <f>VLOOKUP(F1730,辅助信息!A:B,2,FALSE)</f>
        <v>盘螺</v>
      </c>
      <c r="F1730" s="40" t="s">
        <v>49</v>
      </c>
      <c r="G1730" s="36">
        <v>2</v>
      </c>
      <c r="H1730" s="121" t="str">
        <f>_xlfn.XLOOKUP(C1730&amp;F1730&amp;I1730&amp;J1730,'[1]2025年已发货'!$F:$F&amp;'[1]2025年已发货'!$C:$C&amp;'[1]2025年已发货'!$G:$G&amp;'[1]2025年已发货'!$H:$H,'[1]2025年已发货'!$E:$E,"未发货")</f>
        <v>未发货</v>
      </c>
      <c r="I1730" s="120" t="str">
        <f>VLOOKUP(B1730,辅助信息!E:I,3,FALSE)</f>
        <v>(中铁三局集团西渝高铁康渝段站房四标工程)重庆市九龙坡区华祥支路与华祥路交叉口重庆建工重庆西站TOD项目部</v>
      </c>
      <c r="J1730" s="120" t="str">
        <f>VLOOKUP(B1730,辅助信息!E:I,4,FALSE)</f>
        <v>卢庆江</v>
      </c>
      <c r="K1730" s="120">
        <f>VLOOKUP(J1730,辅助信息!H:I,2,FALSE)</f>
        <v>18883488177</v>
      </c>
      <c r="L1730" s="122" t="str">
        <f>VLOOKUP(B1730,辅助信息!E:J,6,FALSE)</f>
        <v>炉批号尽可能不要多</v>
      </c>
      <c r="M1730" s="104">
        <v>45813</v>
      </c>
      <c r="O1730" s="62">
        <f ca="1" t="shared" ref="O1730:O1752" si="97">IF(OR(M1730="",N1730&lt;&gt;""),"",MAX(M1730-TODAY(),0))</f>
        <v>0</v>
      </c>
      <c r="P1730" s="62">
        <f ca="1" t="shared" ref="P1730:P1752" si="98">IF(M1730="","",IF(N1730&lt;&gt;"",MAX(N1730-M1730,0),IF(TODAY()&gt;M1730,TODAY()-M1730,0)))</f>
        <v>147</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0">
        <v>45812</v>
      </c>
      <c r="D1731" s="120" t="str">
        <f>VLOOKUP(B1731,辅助信息!E:K,7,FALSE)</f>
        <v>JWDDCD2025071500024</v>
      </c>
      <c r="E1731" s="120" t="str">
        <f>VLOOKUP(F1731,辅助信息!A:B,2,FALSE)</f>
        <v>盘螺</v>
      </c>
      <c r="F1731" s="40" t="s">
        <v>40</v>
      </c>
      <c r="G1731" s="36">
        <v>6</v>
      </c>
      <c r="H1731" s="121" t="str">
        <f>_xlfn.XLOOKUP(C1731&amp;F1731&amp;I1731&amp;J1731,'[1]2025年已发货'!$F:$F&amp;'[1]2025年已发货'!$C:$C&amp;'[1]2025年已发货'!$G:$G&amp;'[1]2025年已发货'!$H:$H,'[1]2025年已发货'!$E:$E,"未发货")</f>
        <v>未发货</v>
      </c>
      <c r="I1731" s="120" t="str">
        <f>VLOOKUP(B1731,辅助信息!E:I,3,FALSE)</f>
        <v>(中铁三局集团西渝高铁康渝段站房四标工程)重庆市九龙坡区华祥支路与华祥路交叉口重庆建工重庆西站TOD项目部</v>
      </c>
      <c r="J1731" s="120" t="str">
        <f>VLOOKUP(B1731,辅助信息!E:I,4,FALSE)</f>
        <v>卢庆江</v>
      </c>
      <c r="K1731" s="120">
        <f>VLOOKUP(J1731,辅助信息!H:I,2,FALSE)</f>
        <v>18883488177</v>
      </c>
      <c r="L1731" s="122" t="str">
        <f>VLOOKUP(B1731,辅助信息!E:J,6,FALSE)</f>
        <v>炉批号尽可能不要多</v>
      </c>
      <c r="M1731" s="104">
        <v>45813</v>
      </c>
      <c r="O1731" s="62">
        <f ca="1" t="shared" si="97"/>
        <v>0</v>
      </c>
      <c r="P1731" s="62">
        <f ca="1" t="shared" si="98"/>
        <v>147</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0">
        <v>45812</v>
      </c>
      <c r="D1732" s="120" t="str">
        <f>VLOOKUP(B1732,辅助信息!E:K,7,FALSE)</f>
        <v>JWDDCD2025071500024</v>
      </c>
      <c r="E1732" s="120" t="str">
        <f>VLOOKUP(F1732,辅助信息!A:B,2,FALSE)</f>
        <v>盘螺</v>
      </c>
      <c r="F1732" s="40" t="s">
        <v>41</v>
      </c>
      <c r="G1732" s="36">
        <v>6</v>
      </c>
      <c r="H1732" s="121" t="str">
        <f>_xlfn.XLOOKUP(C1732&amp;F1732&amp;I1732&amp;J1732,'[1]2025年已发货'!$F:$F&amp;'[1]2025年已发货'!$C:$C&amp;'[1]2025年已发货'!$G:$G&amp;'[1]2025年已发货'!$H:$H,'[1]2025年已发货'!$E:$E,"未发货")</f>
        <v>未发货</v>
      </c>
      <c r="I1732" s="120" t="str">
        <f>VLOOKUP(B1732,辅助信息!E:I,3,FALSE)</f>
        <v>(中铁三局集团西渝高铁康渝段站房四标工程)重庆市九龙坡区华祥支路与华祥路交叉口重庆建工重庆西站TOD项目部</v>
      </c>
      <c r="J1732" s="120" t="str">
        <f>VLOOKUP(B1732,辅助信息!E:I,4,FALSE)</f>
        <v>卢庆江</v>
      </c>
      <c r="K1732" s="120">
        <f>VLOOKUP(J1732,辅助信息!H:I,2,FALSE)</f>
        <v>18883488177</v>
      </c>
      <c r="L1732" s="122" t="str">
        <f>VLOOKUP(B1732,辅助信息!E:J,6,FALSE)</f>
        <v>炉批号尽可能不要多</v>
      </c>
      <c r="M1732" s="104">
        <v>45813</v>
      </c>
      <c r="O1732" s="62">
        <f ca="1" t="shared" si="97"/>
        <v>0</v>
      </c>
      <c r="P1732" s="62">
        <f ca="1" t="shared" si="98"/>
        <v>147</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0">
        <v>45812</v>
      </c>
      <c r="D1733" s="120" t="str">
        <f>VLOOKUP(B1733,辅助信息!E:K,7,FALSE)</f>
        <v>JWDDCD2025071500024</v>
      </c>
      <c r="E1733" s="120" t="str">
        <f>VLOOKUP(F1733,辅助信息!A:B,2,FALSE)</f>
        <v>螺纹钢</v>
      </c>
      <c r="F1733" s="40" t="s">
        <v>27</v>
      </c>
      <c r="G1733" s="36">
        <v>19</v>
      </c>
      <c r="H1733" s="121" t="str">
        <f>_xlfn.XLOOKUP(C1733&amp;F1733&amp;I1733&amp;J1733,'[1]2025年已发货'!$F:$F&amp;'[1]2025年已发货'!$C:$C&amp;'[1]2025年已发货'!$G:$G&amp;'[1]2025年已发货'!$H:$H,'[1]2025年已发货'!$E:$E,"未发货")</f>
        <v>未发货</v>
      </c>
      <c r="I1733" s="120" t="str">
        <f>VLOOKUP(B1733,辅助信息!E:I,3,FALSE)</f>
        <v>(中铁三局集团西渝高铁康渝段站房四标工程)重庆市九龙坡区华祥支路与华祥路交叉口重庆建工重庆西站TOD项目部</v>
      </c>
      <c r="J1733" s="120" t="str">
        <f>VLOOKUP(B1733,辅助信息!E:I,4,FALSE)</f>
        <v>卢庆江</v>
      </c>
      <c r="K1733" s="120">
        <f>VLOOKUP(J1733,辅助信息!H:I,2,FALSE)</f>
        <v>18883488177</v>
      </c>
      <c r="L1733" s="122" t="str">
        <f>VLOOKUP(B1733,辅助信息!E:J,6,FALSE)</f>
        <v>炉批号尽可能不要多</v>
      </c>
      <c r="M1733" s="104">
        <v>45813</v>
      </c>
      <c r="O1733" s="62">
        <f ca="1" t="shared" si="97"/>
        <v>0</v>
      </c>
      <c r="P1733" s="62">
        <f ca="1" t="shared" si="98"/>
        <v>147</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0">
        <v>45812</v>
      </c>
      <c r="D1734" s="120" t="str">
        <f>VLOOKUP(B1734,辅助信息!E:K,7,FALSE)</f>
        <v>JWDDCD2025071500024</v>
      </c>
      <c r="E1734" s="120" t="str">
        <f>VLOOKUP(F1734,辅助信息!A:B,2,FALSE)</f>
        <v>螺纹钢</v>
      </c>
      <c r="F1734" s="40" t="s">
        <v>19</v>
      </c>
      <c r="G1734" s="36">
        <v>8</v>
      </c>
      <c r="H1734" s="121" t="str">
        <f>_xlfn.XLOOKUP(C1734&amp;F1734&amp;I1734&amp;J1734,'[1]2025年已发货'!$F:$F&amp;'[1]2025年已发货'!$C:$C&amp;'[1]2025年已发货'!$G:$G&amp;'[1]2025年已发货'!$H:$H,'[1]2025年已发货'!$E:$E,"未发货")</f>
        <v>未发货</v>
      </c>
      <c r="I1734" s="120" t="str">
        <f>VLOOKUP(B1734,辅助信息!E:I,3,FALSE)</f>
        <v>(中铁三局集团西渝高铁康渝段站房四标工程)重庆市九龙坡区华祥支路与华祥路交叉口重庆建工重庆西站TOD项目部</v>
      </c>
      <c r="J1734" s="120" t="str">
        <f>VLOOKUP(B1734,辅助信息!E:I,4,FALSE)</f>
        <v>卢庆江</v>
      </c>
      <c r="K1734" s="120">
        <f>VLOOKUP(J1734,辅助信息!H:I,2,FALSE)</f>
        <v>18883488177</v>
      </c>
      <c r="L1734" s="122" t="str">
        <f>VLOOKUP(B1734,辅助信息!E:J,6,FALSE)</f>
        <v>炉批号尽可能不要多</v>
      </c>
      <c r="M1734" s="104">
        <v>45813</v>
      </c>
      <c r="O1734" s="62">
        <f ca="1" t="shared" si="97"/>
        <v>0</v>
      </c>
      <c r="P1734" s="62">
        <f ca="1" t="shared" si="98"/>
        <v>147</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0">
        <v>45812</v>
      </c>
      <c r="D1735" s="120" t="str">
        <f>VLOOKUP(B1735,辅助信息!E:K,7,FALSE)</f>
        <v>JWDDCD2025071500024</v>
      </c>
      <c r="E1735" s="120" t="str">
        <f>VLOOKUP(F1735,辅助信息!A:B,2,FALSE)</f>
        <v>螺纹钢</v>
      </c>
      <c r="F1735" s="40" t="s">
        <v>32</v>
      </c>
      <c r="G1735" s="36">
        <v>4</v>
      </c>
      <c r="H1735" s="121" t="str">
        <f>_xlfn.XLOOKUP(C1735&amp;F1735&amp;I1735&amp;J1735,'[1]2025年已发货'!$F:$F&amp;'[1]2025年已发货'!$C:$C&amp;'[1]2025年已发货'!$G:$G&amp;'[1]2025年已发货'!$H:$H,'[1]2025年已发货'!$E:$E,"未发货")</f>
        <v>未发货</v>
      </c>
      <c r="I1735" s="120" t="str">
        <f>VLOOKUP(B1735,辅助信息!E:I,3,FALSE)</f>
        <v>(中铁三局集团西渝高铁康渝段站房四标工程)重庆市九龙坡区华祥支路与华祥路交叉口重庆建工重庆西站TOD项目部</v>
      </c>
      <c r="J1735" s="120" t="str">
        <f>VLOOKUP(B1735,辅助信息!E:I,4,FALSE)</f>
        <v>卢庆江</v>
      </c>
      <c r="K1735" s="120">
        <f>VLOOKUP(J1735,辅助信息!H:I,2,FALSE)</f>
        <v>18883488177</v>
      </c>
      <c r="L1735" s="122" t="str">
        <f>VLOOKUP(B1735,辅助信息!E:J,6,FALSE)</f>
        <v>炉批号尽可能不要多</v>
      </c>
      <c r="M1735" s="104">
        <v>45813</v>
      </c>
      <c r="O1735" s="62">
        <f ca="1" t="shared" si="97"/>
        <v>0</v>
      </c>
      <c r="P1735" s="62">
        <f ca="1" t="shared" si="98"/>
        <v>147</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0">
        <v>45812</v>
      </c>
      <c r="D1736" s="120" t="str">
        <f>VLOOKUP(B1736,辅助信息!E:K,7,FALSE)</f>
        <v>JWDDCD2025071500024</v>
      </c>
      <c r="E1736" s="120" t="str">
        <f>VLOOKUP(F1736,辅助信息!A:B,2,FALSE)</f>
        <v>螺纹钢</v>
      </c>
      <c r="F1736" s="40" t="s">
        <v>30</v>
      </c>
      <c r="G1736" s="36">
        <v>8</v>
      </c>
      <c r="H1736" s="121" t="str">
        <f>_xlfn.XLOOKUP(C1736&amp;F1736&amp;I1736&amp;J1736,'[1]2025年已发货'!$F:$F&amp;'[1]2025年已发货'!$C:$C&amp;'[1]2025年已发货'!$G:$G&amp;'[1]2025年已发货'!$H:$H,'[1]2025年已发货'!$E:$E,"未发货")</f>
        <v>未发货</v>
      </c>
      <c r="I1736" s="120" t="str">
        <f>VLOOKUP(B1736,辅助信息!E:I,3,FALSE)</f>
        <v>(中铁三局集团西渝高铁康渝段站房四标工程)重庆市九龙坡区华祥支路与华祥路交叉口重庆建工重庆西站TOD项目部</v>
      </c>
      <c r="J1736" s="120" t="str">
        <f>VLOOKUP(B1736,辅助信息!E:I,4,FALSE)</f>
        <v>卢庆江</v>
      </c>
      <c r="K1736" s="120">
        <f>VLOOKUP(J1736,辅助信息!H:I,2,FALSE)</f>
        <v>18883488177</v>
      </c>
      <c r="L1736" s="122" t="str">
        <f>VLOOKUP(B1736,辅助信息!E:J,6,FALSE)</f>
        <v>炉批号尽可能不要多</v>
      </c>
      <c r="M1736" s="104">
        <v>45813</v>
      </c>
      <c r="O1736" s="62">
        <f ca="1" t="shared" si="97"/>
        <v>0</v>
      </c>
      <c r="P1736" s="62">
        <f ca="1" t="shared" si="98"/>
        <v>147</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0">
        <v>45812</v>
      </c>
      <c r="D1737" s="120" t="str">
        <f>VLOOKUP(B1737,辅助信息!E:K,7,FALSE)</f>
        <v>JWDDCD2025071500024</v>
      </c>
      <c r="E1737" s="120" t="str">
        <f>VLOOKUP(F1737,辅助信息!A:B,2,FALSE)</f>
        <v>螺纹钢</v>
      </c>
      <c r="F1737" s="40" t="s">
        <v>33</v>
      </c>
      <c r="G1737" s="36">
        <v>14</v>
      </c>
      <c r="H1737" s="121" t="str">
        <f>_xlfn.XLOOKUP(C1737&amp;F1737&amp;I1737&amp;J1737,'[1]2025年已发货'!$F:$F&amp;'[1]2025年已发货'!$C:$C&amp;'[1]2025年已发货'!$G:$G&amp;'[1]2025年已发货'!$H:$H,'[1]2025年已发货'!$E:$E,"未发货")</f>
        <v>未发货</v>
      </c>
      <c r="I1737" s="120" t="str">
        <f>VLOOKUP(B1737,辅助信息!E:I,3,FALSE)</f>
        <v>(中铁三局集团西渝高铁康渝段站房四标工程)重庆市九龙坡区华祥支路与华祥路交叉口重庆建工重庆西站TOD项目部</v>
      </c>
      <c r="J1737" s="120" t="str">
        <f>VLOOKUP(B1737,辅助信息!E:I,4,FALSE)</f>
        <v>卢庆江</v>
      </c>
      <c r="K1737" s="120">
        <f>VLOOKUP(J1737,辅助信息!H:I,2,FALSE)</f>
        <v>18883488177</v>
      </c>
      <c r="L1737" s="122" t="str">
        <f>VLOOKUP(B1737,辅助信息!E:J,6,FALSE)</f>
        <v>炉批号尽可能不要多</v>
      </c>
      <c r="M1737" s="104">
        <v>45813</v>
      </c>
      <c r="O1737" s="62">
        <f ca="1" t="shared" si="97"/>
        <v>0</v>
      </c>
      <c r="P1737" s="62">
        <f ca="1" t="shared" si="98"/>
        <v>147</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0">
        <v>45812</v>
      </c>
      <c r="D1738" s="120" t="str">
        <f>VLOOKUP(B1738,辅助信息!E:K,7,FALSE)</f>
        <v>JWDDCD2025071500024</v>
      </c>
      <c r="E1738" s="120" t="str">
        <f>VLOOKUP(F1738,辅助信息!A:B,2,FALSE)</f>
        <v>螺纹钢</v>
      </c>
      <c r="F1738" s="40" t="s">
        <v>28</v>
      </c>
      <c r="G1738" s="36">
        <v>27</v>
      </c>
      <c r="H1738" s="121" t="str">
        <f>_xlfn.XLOOKUP(C1738&amp;F1738&amp;I1738&amp;J1738,'[1]2025年已发货'!$F:$F&amp;'[1]2025年已发货'!$C:$C&amp;'[1]2025年已发货'!$G:$G&amp;'[1]2025年已发货'!$H:$H,'[1]2025年已发货'!$E:$E,"未发货")</f>
        <v>未发货</v>
      </c>
      <c r="I1738" s="120" t="str">
        <f>VLOOKUP(B1738,辅助信息!E:I,3,FALSE)</f>
        <v>(中铁三局集团西渝高铁康渝段站房四标工程)重庆市九龙坡区华祥支路与华祥路交叉口重庆建工重庆西站TOD项目部</v>
      </c>
      <c r="J1738" s="120" t="str">
        <f>VLOOKUP(B1738,辅助信息!E:I,4,FALSE)</f>
        <v>卢庆江</v>
      </c>
      <c r="K1738" s="120">
        <f>VLOOKUP(J1738,辅助信息!H:I,2,FALSE)</f>
        <v>18883488177</v>
      </c>
      <c r="L1738" s="122" t="str">
        <f>VLOOKUP(B1738,辅助信息!E:J,6,FALSE)</f>
        <v>炉批号尽可能不要多</v>
      </c>
      <c r="M1738" s="104">
        <v>45813</v>
      </c>
      <c r="O1738" s="62">
        <f ca="1" t="shared" si="97"/>
        <v>0</v>
      </c>
      <c r="P1738" s="62">
        <f ca="1" t="shared" si="98"/>
        <v>147</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0">
        <v>45812</v>
      </c>
      <c r="D1739" s="120" t="str">
        <f>VLOOKUP(B1739,辅助信息!E:K,7,FALSE)</f>
        <v>JWDDCD2025071500024</v>
      </c>
      <c r="E1739" s="120" t="str">
        <f>VLOOKUP(F1739,辅助信息!A:B,2,FALSE)</f>
        <v>螺纹钢</v>
      </c>
      <c r="F1739" s="40" t="s">
        <v>18</v>
      </c>
      <c r="G1739" s="36">
        <v>7</v>
      </c>
      <c r="H1739" s="121" t="str">
        <f>_xlfn.XLOOKUP(C1739&amp;F1739&amp;I1739&amp;J1739,'[1]2025年已发货'!$F:$F&amp;'[1]2025年已发货'!$C:$C&amp;'[1]2025年已发货'!$G:$G&amp;'[1]2025年已发货'!$H:$H,'[1]2025年已发货'!$E:$E,"未发货")</f>
        <v>未发货</v>
      </c>
      <c r="I1739" s="120" t="str">
        <f>VLOOKUP(B1739,辅助信息!E:I,3,FALSE)</f>
        <v>(中铁三局集团西渝高铁康渝段站房四标工程)重庆市九龙坡区华祥支路与华祥路交叉口重庆建工重庆西站TOD项目部</v>
      </c>
      <c r="J1739" s="120" t="str">
        <f>VLOOKUP(B1739,辅助信息!E:I,4,FALSE)</f>
        <v>卢庆江</v>
      </c>
      <c r="K1739" s="120">
        <f>VLOOKUP(J1739,辅助信息!H:I,2,FALSE)</f>
        <v>18883488177</v>
      </c>
      <c r="L1739" s="122" t="str">
        <f>VLOOKUP(B1739,辅助信息!E:J,6,FALSE)</f>
        <v>炉批号尽可能不要多</v>
      </c>
      <c r="M1739" s="104">
        <v>45813</v>
      </c>
      <c r="O1739" s="62">
        <f ca="1" t="shared" si="97"/>
        <v>0</v>
      </c>
      <c r="P1739" s="62">
        <f ca="1" t="shared" si="98"/>
        <v>147</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0">
        <v>45812</v>
      </c>
      <c r="D1740" s="120" t="str">
        <f>VLOOKUP(B1740,辅助信息!E:K,7,FALSE)</f>
        <v>JWDDCD2025071500024</v>
      </c>
      <c r="E1740" s="120" t="str">
        <f>VLOOKUP(F1740,辅助信息!A:B,2,FALSE)</f>
        <v>螺纹钢</v>
      </c>
      <c r="F1740" s="40" t="s">
        <v>65</v>
      </c>
      <c r="G1740" s="36">
        <v>4</v>
      </c>
      <c r="H1740" s="121" t="str">
        <f>_xlfn.XLOOKUP(C1740&amp;F1740&amp;I1740&amp;J1740,'[1]2025年已发货'!$F:$F&amp;'[1]2025年已发货'!$C:$C&amp;'[1]2025年已发货'!$G:$G&amp;'[1]2025年已发货'!$H:$H,'[1]2025年已发货'!$E:$E,"未发货")</f>
        <v>未发货</v>
      </c>
      <c r="I1740" s="120" t="str">
        <f>VLOOKUP(B1740,辅助信息!E:I,3,FALSE)</f>
        <v>(中铁三局集团西渝高铁康渝段站房四标工程)重庆市九龙坡区华祥支路与华祥路交叉口重庆建工重庆西站TOD项目部</v>
      </c>
      <c r="J1740" s="120" t="str">
        <f>VLOOKUP(B1740,辅助信息!E:I,4,FALSE)</f>
        <v>卢庆江</v>
      </c>
      <c r="K1740" s="120">
        <f>VLOOKUP(J1740,辅助信息!H:I,2,FALSE)</f>
        <v>18883488177</v>
      </c>
      <c r="L1740" s="122" t="str">
        <f>VLOOKUP(B1740,辅助信息!E:J,6,FALSE)</f>
        <v>炉批号尽可能不要多</v>
      </c>
      <c r="M1740" s="104">
        <v>45813</v>
      </c>
      <c r="O1740" s="62">
        <f ca="1" t="shared" si="97"/>
        <v>0</v>
      </c>
      <c r="P1740" s="62">
        <f ca="1" t="shared" si="98"/>
        <v>147</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0" t="s">
        <v>81</v>
      </c>
      <c r="C1741" s="70">
        <v>45813</v>
      </c>
      <c r="D1741" s="120" t="str">
        <f>VLOOKUP(B1741,辅助信息!E:K,7,FALSE)</f>
        <v>JWDDCD2025060900080</v>
      </c>
      <c r="E1741" s="120" t="str">
        <f>VLOOKUP(F1741,辅助信息!A:B,2,FALSE)</f>
        <v>高线</v>
      </c>
      <c r="F1741" s="120" t="s">
        <v>53</v>
      </c>
      <c r="G1741" s="121">
        <v>2</v>
      </c>
      <c r="H1741" s="121" t="str">
        <f>_xlfn.XLOOKUP(C1741&amp;F1741&amp;I1741&amp;J1741,'[1]2025年已发货'!$F:$F&amp;'[1]2025年已发货'!$C:$C&amp;'[1]2025年已发货'!$G:$G&amp;'[1]2025年已发货'!$H:$H,'[1]2025年已发货'!$E:$E,"未发货")</f>
        <v>未发货</v>
      </c>
      <c r="I1741" s="120" t="str">
        <f>VLOOKUP(B1741,辅助信息!E:I,3,FALSE)</f>
        <v>（华西简阳西城嘉苑）四川省成都市简阳市简城街道高屋村</v>
      </c>
      <c r="J1741" s="120" t="str">
        <f>VLOOKUP(B1741,辅助信息!E:I,4,FALSE)</f>
        <v>张瀚镭</v>
      </c>
      <c r="K1741" s="120">
        <f>VLOOKUP(J1741,辅助信息!H:I,2,FALSE)</f>
        <v>15884666220</v>
      </c>
      <c r="L1741" s="127" t="str">
        <f>VLOOKUP(B1741,辅助信息!E:J,6,FALSE)</f>
        <v>现场禁止使用氢能源挂车！优先威钢发货,我方卸车,新老国标钢厂不加价可直发，因陕钢多次出现磅差，项目拒绝使用</v>
      </c>
      <c r="M1741" s="91">
        <v>45813</v>
      </c>
      <c r="O1741" s="62">
        <f ca="1" t="shared" si="97"/>
        <v>0</v>
      </c>
      <c r="P1741" s="62">
        <f ca="1" t="shared" si="98"/>
        <v>147</v>
      </c>
      <c r="Q1741" s="29" t="str">
        <f>VLOOKUP(B1741,辅助信息!E:M,9,FALSE)</f>
        <v>ZTWM-CDGS-XS-2024-0030-华西集采-简州大道</v>
      </c>
      <c r="R1741" s="29" t="str">
        <f>_xlfn._xlws.FILTER(辅助信息!D:D,辅助信息!E:E=B1741)</f>
        <v>华西简阳西城嘉苑</v>
      </c>
    </row>
    <row r="1742" hidden="1" spans="2:18">
      <c r="B1742" s="120" t="s">
        <v>81</v>
      </c>
      <c r="C1742" s="70">
        <v>45813</v>
      </c>
      <c r="D1742" s="120" t="str">
        <f>VLOOKUP(B1742,辅助信息!E:K,7,FALSE)</f>
        <v>JWDDCD2025060900080</v>
      </c>
      <c r="E1742" s="120" t="str">
        <f>VLOOKUP(F1742,辅助信息!A:B,2,FALSE)</f>
        <v>盘螺</v>
      </c>
      <c r="F1742" s="120" t="s">
        <v>49</v>
      </c>
      <c r="G1742" s="121">
        <v>7.5</v>
      </c>
      <c r="H1742" s="121" t="str">
        <f>_xlfn.XLOOKUP(C1742&amp;F1742&amp;I1742&amp;J1742,'[1]2025年已发货'!$F:$F&amp;'[1]2025年已发货'!$C:$C&amp;'[1]2025年已发货'!$G:$G&amp;'[1]2025年已发货'!$H:$H,'[1]2025年已发货'!$E:$E,"未发货")</f>
        <v>未发货</v>
      </c>
      <c r="I1742" s="120" t="str">
        <f>VLOOKUP(B1742,辅助信息!E:I,3,FALSE)</f>
        <v>（华西简阳西城嘉苑）四川省成都市简阳市简城街道高屋村</v>
      </c>
      <c r="J1742" s="120" t="str">
        <f>VLOOKUP(B1742,辅助信息!E:I,4,FALSE)</f>
        <v>张瀚镭</v>
      </c>
      <c r="K1742" s="120">
        <f>VLOOKUP(J1742,辅助信息!H:I,2,FALSE)</f>
        <v>15884666220</v>
      </c>
      <c r="L1742" s="127" t="str">
        <f>VLOOKUP(B1742,辅助信息!E:J,6,FALSE)</f>
        <v>现场禁止使用氢能源挂车！优先威钢发货,我方卸车,新老国标钢厂不加价可直发，因陕钢多次出现磅差，项目拒绝使用</v>
      </c>
      <c r="M1742" s="91">
        <v>45813</v>
      </c>
      <c r="O1742" s="62">
        <f ca="1" t="shared" si="97"/>
        <v>0</v>
      </c>
      <c r="P1742" s="62">
        <f ca="1" t="shared" si="98"/>
        <v>147</v>
      </c>
      <c r="Q1742" s="29" t="str">
        <f>VLOOKUP(B1742,辅助信息!E:M,9,FALSE)</f>
        <v>ZTWM-CDGS-XS-2024-0030-华西集采-简州大道</v>
      </c>
      <c r="R1742" s="29" t="str">
        <f>_xlfn._xlws.FILTER(辅助信息!D:D,辅助信息!E:E=B1742)</f>
        <v>华西简阳西城嘉苑</v>
      </c>
    </row>
    <row r="1743" hidden="1" spans="2:18">
      <c r="B1743" s="120" t="s">
        <v>81</v>
      </c>
      <c r="C1743" s="70">
        <v>45813</v>
      </c>
      <c r="D1743" s="120" t="str">
        <f>VLOOKUP(B1743,辅助信息!E:K,7,FALSE)</f>
        <v>JWDDCD2025060900080</v>
      </c>
      <c r="E1743" s="120" t="str">
        <f>VLOOKUP(F1743,辅助信息!A:B,2,FALSE)</f>
        <v>螺纹钢</v>
      </c>
      <c r="F1743" s="120" t="s">
        <v>19</v>
      </c>
      <c r="G1743" s="121">
        <v>10</v>
      </c>
      <c r="H1743" s="121" t="str">
        <f>_xlfn.XLOOKUP(C1743&amp;F1743&amp;I1743&amp;J1743,'[1]2025年已发货'!$F:$F&amp;'[1]2025年已发货'!$C:$C&amp;'[1]2025年已发货'!$G:$G&amp;'[1]2025年已发货'!$H:$H,'[1]2025年已发货'!$E:$E,"未发货")</f>
        <v>未发货</v>
      </c>
      <c r="I1743" s="120" t="str">
        <f>VLOOKUP(B1743,辅助信息!E:I,3,FALSE)</f>
        <v>（华西简阳西城嘉苑）四川省成都市简阳市简城街道高屋村</v>
      </c>
      <c r="J1743" s="120" t="str">
        <f>VLOOKUP(B1743,辅助信息!E:I,4,FALSE)</f>
        <v>张瀚镭</v>
      </c>
      <c r="K1743" s="120">
        <f>VLOOKUP(J1743,辅助信息!H:I,2,FALSE)</f>
        <v>15884666220</v>
      </c>
      <c r="L1743" s="127" t="str">
        <f>VLOOKUP(B1743,辅助信息!E:J,6,FALSE)</f>
        <v>现场禁止使用氢能源挂车！优先威钢发货,我方卸车,新老国标钢厂不加价可直发，因陕钢多次出现磅差，项目拒绝使用</v>
      </c>
      <c r="M1743" s="91">
        <v>45813</v>
      </c>
      <c r="O1743" s="62">
        <f ca="1" t="shared" si="97"/>
        <v>0</v>
      </c>
      <c r="P1743" s="62">
        <f ca="1" t="shared" si="98"/>
        <v>147</v>
      </c>
      <c r="Q1743" s="29" t="str">
        <f>VLOOKUP(B1743,辅助信息!E:M,9,FALSE)</f>
        <v>ZTWM-CDGS-XS-2024-0030-华西集采-简州大道</v>
      </c>
      <c r="R1743" s="29" t="str">
        <f>_xlfn._xlws.FILTER(辅助信息!D:D,辅助信息!E:E=B1743)</f>
        <v>华西简阳西城嘉苑</v>
      </c>
    </row>
    <row r="1744" hidden="1" spans="2:18">
      <c r="B1744" s="120" t="s">
        <v>47</v>
      </c>
      <c r="C1744" s="70">
        <v>45813</v>
      </c>
      <c r="D1744" s="120" t="str">
        <f>VLOOKUP(B1744,辅助信息!E:K,7,FALSE)</f>
        <v>JWDDCD2025052800131</v>
      </c>
      <c r="E1744" s="120" t="str">
        <f>VLOOKUP(F1744,辅助信息!A:B,2,FALSE)</f>
        <v>高线</v>
      </c>
      <c r="F1744" s="120" t="s">
        <v>57</v>
      </c>
      <c r="G1744" s="121">
        <v>17.5</v>
      </c>
      <c r="H1744" s="121">
        <f>_xlfn.XLOOKUP(C1744&amp;F1744&amp;I1744&amp;J1744,'[1]2025年已发货'!$F:$F&amp;'[1]2025年已发货'!$C:$C&amp;'[1]2025年已发货'!$G:$G&amp;'[1]2025年已发货'!$H:$H,'[1]2025年已发货'!$E:$E,"未发货")</f>
        <v>17.5</v>
      </c>
      <c r="I1744" s="120" t="str">
        <f>VLOOKUP(B1744,辅助信息!E:I,3,FALSE)</f>
        <v>（商投建工达州中医药科技园-1工区）达州市通川区达州中医药职业学院犀牛大道北段</v>
      </c>
      <c r="J1744" s="120" t="str">
        <f>VLOOKUP(B1744,辅助信息!E:I,4,FALSE)</f>
        <v>程黄刚</v>
      </c>
      <c r="K1744" s="120">
        <f>VLOOKUP(J1744,辅助信息!H:I,2,FALSE)</f>
        <v>15108211617</v>
      </c>
      <c r="L1744" s="127" t="str">
        <f>VLOOKUP(B1744,辅助信息!E:J,6,FALSE)</f>
        <v>控制炉批号！多了现场不收！,优先安排达钢,提前联系到场规格及数量</v>
      </c>
      <c r="M1744" s="91">
        <v>45813</v>
      </c>
      <c r="O1744" s="62">
        <f ca="1" t="shared" si="97"/>
        <v>0</v>
      </c>
      <c r="P1744" s="62">
        <f ca="1" t="shared" si="98"/>
        <v>147</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0" t="s">
        <v>47</v>
      </c>
      <c r="C1745" s="70">
        <v>45813</v>
      </c>
      <c r="D1745" s="120" t="str">
        <f>VLOOKUP(B1745,辅助信息!E:K,7,FALSE)</f>
        <v>JWDDCD2025052800131</v>
      </c>
      <c r="E1745" s="120" t="str">
        <f>VLOOKUP(F1745,辅助信息!A:B,2,FALSE)</f>
        <v>螺纹钢</v>
      </c>
      <c r="F1745" s="120" t="s">
        <v>66</v>
      </c>
      <c r="G1745" s="121">
        <f>6+6</f>
        <v>12</v>
      </c>
      <c r="H1745" s="121">
        <f>_xlfn.XLOOKUP(C1745&amp;F1745&amp;I1745&amp;J1745,'[1]2025年已发货'!$F:$F&amp;'[1]2025年已发货'!$C:$C&amp;'[1]2025年已发货'!$G:$G&amp;'[1]2025年已发货'!$H:$H,'[1]2025年已发货'!$E:$E,"未发货")</f>
        <v>12</v>
      </c>
      <c r="I1745" s="120" t="str">
        <f>VLOOKUP(B1745,辅助信息!E:I,3,FALSE)</f>
        <v>（商投建工达州中医药科技园-1工区）达州市通川区达州中医药职业学院犀牛大道北段</v>
      </c>
      <c r="J1745" s="120" t="str">
        <f>VLOOKUP(B1745,辅助信息!E:I,4,FALSE)</f>
        <v>程黄刚</v>
      </c>
      <c r="K1745" s="120">
        <f>VLOOKUP(J1745,辅助信息!H:I,2,FALSE)</f>
        <v>15108211617</v>
      </c>
      <c r="L1745" s="127" t="str">
        <f>VLOOKUP(B1745,辅助信息!E:J,6,FALSE)</f>
        <v>控制炉批号！多了现场不收！,优先安排达钢,提前联系到场规格及数量</v>
      </c>
      <c r="M1745" s="91">
        <v>45813</v>
      </c>
      <c r="O1745" s="62">
        <f ca="1" t="shared" si="97"/>
        <v>0</v>
      </c>
      <c r="P1745" s="62">
        <f ca="1" t="shared" si="98"/>
        <v>147</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0" t="s">
        <v>47</v>
      </c>
      <c r="C1746" s="70">
        <v>45813</v>
      </c>
      <c r="D1746" s="120" t="str">
        <f>VLOOKUP(B1746,辅助信息!E:K,7,FALSE)</f>
        <v>JWDDCD2025052800131</v>
      </c>
      <c r="E1746" s="120" t="str">
        <f>VLOOKUP(F1746,辅助信息!A:B,2,FALSE)</f>
        <v>螺纹钢</v>
      </c>
      <c r="F1746" s="120" t="s">
        <v>82</v>
      </c>
      <c r="G1746" s="121">
        <f>3+6</f>
        <v>9</v>
      </c>
      <c r="H1746" s="121">
        <f>_xlfn.XLOOKUP(C1746&amp;F1746&amp;I1746&amp;J1746,'[1]2025年已发货'!$F:$F&amp;'[1]2025年已发货'!$C:$C&amp;'[1]2025年已发货'!$G:$G&amp;'[1]2025年已发货'!$H:$H,'[1]2025年已发货'!$E:$E,"未发货")</f>
        <v>9</v>
      </c>
      <c r="I1746" s="120" t="str">
        <f>VLOOKUP(B1746,辅助信息!E:I,3,FALSE)</f>
        <v>（商投建工达州中医药科技园-1工区）达州市通川区达州中医药职业学院犀牛大道北段</v>
      </c>
      <c r="J1746" s="120" t="str">
        <f>VLOOKUP(B1746,辅助信息!E:I,4,FALSE)</f>
        <v>程黄刚</v>
      </c>
      <c r="K1746" s="120">
        <f>VLOOKUP(J1746,辅助信息!H:I,2,FALSE)</f>
        <v>15108211617</v>
      </c>
      <c r="L1746" s="127" t="str">
        <f>VLOOKUP(B1746,辅助信息!E:J,6,FALSE)</f>
        <v>控制炉批号！多了现场不收！,优先安排达钢,提前联系到场规格及数量</v>
      </c>
      <c r="M1746" s="91">
        <v>45813</v>
      </c>
      <c r="O1746" s="62">
        <f ca="1" t="shared" si="97"/>
        <v>0</v>
      </c>
      <c r="P1746" s="62">
        <f ca="1" t="shared" si="98"/>
        <v>147</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0" t="s">
        <v>47</v>
      </c>
      <c r="C1747" s="70">
        <v>45813</v>
      </c>
      <c r="D1747" s="120" t="str">
        <f>VLOOKUP(B1747,辅助信息!E:K,7,FALSE)</f>
        <v>JWDDCD2025052800131</v>
      </c>
      <c r="E1747" s="120" t="str">
        <f>VLOOKUP(F1747,辅助信息!A:B,2,FALSE)</f>
        <v>螺纹钢</v>
      </c>
      <c r="F1747" s="120" t="s">
        <v>45</v>
      </c>
      <c r="G1747" s="121">
        <f>6+6</f>
        <v>12</v>
      </c>
      <c r="H1747" s="121">
        <f>_xlfn.XLOOKUP(C1747&amp;F1747&amp;I1747&amp;J1747,'[1]2025年已发货'!$F:$F&amp;'[1]2025年已发货'!$C:$C&amp;'[1]2025年已发货'!$G:$G&amp;'[1]2025年已发货'!$H:$H,'[1]2025年已发货'!$E:$E,"未发货")</f>
        <v>8</v>
      </c>
      <c r="I1747" s="120" t="str">
        <f>VLOOKUP(B1747,辅助信息!E:I,3,FALSE)</f>
        <v>（商投建工达州中医药科技园-1工区）达州市通川区达州中医药职业学院犀牛大道北段</v>
      </c>
      <c r="J1747" s="120" t="str">
        <f>VLOOKUP(B1747,辅助信息!E:I,4,FALSE)</f>
        <v>程黄刚</v>
      </c>
      <c r="K1747" s="120">
        <f>VLOOKUP(J1747,辅助信息!H:I,2,FALSE)</f>
        <v>15108211617</v>
      </c>
      <c r="L1747" s="127" t="str">
        <f>VLOOKUP(B1747,辅助信息!E:J,6,FALSE)</f>
        <v>控制炉批号！多了现场不收！,优先安排达钢,提前联系到场规格及数量</v>
      </c>
      <c r="M1747" s="91">
        <v>45813</v>
      </c>
      <c r="O1747" s="62">
        <f ca="1" t="shared" si="97"/>
        <v>0</v>
      </c>
      <c r="P1747" s="62">
        <f ca="1" t="shared" si="98"/>
        <v>147</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0" t="s">
        <v>47</v>
      </c>
      <c r="C1748" s="70">
        <v>45813</v>
      </c>
      <c r="D1748" s="120" t="str">
        <f>VLOOKUP(B1748,辅助信息!E:K,7,FALSE)</f>
        <v>JWDDCD2025052800131</v>
      </c>
      <c r="E1748" s="120" t="str">
        <f>VLOOKUP(F1748,辅助信息!A:B,2,FALSE)</f>
        <v>螺纹钢</v>
      </c>
      <c r="F1748" s="120" t="s">
        <v>21</v>
      </c>
      <c r="G1748" s="121">
        <f>9+6</f>
        <v>15</v>
      </c>
      <c r="H1748" s="121">
        <f>_xlfn.XLOOKUP(C1748&amp;F1748&amp;I1748&amp;J1748,'[1]2025年已发货'!$F:$F&amp;'[1]2025年已发货'!$C:$C&amp;'[1]2025年已发货'!$G:$G&amp;'[1]2025年已发货'!$H:$H,'[1]2025年已发货'!$E:$E,"未发货")</f>
        <v>8</v>
      </c>
      <c r="I1748" s="120" t="str">
        <f>VLOOKUP(B1748,辅助信息!E:I,3,FALSE)</f>
        <v>（商投建工达州中医药科技园-1工区）达州市通川区达州中医药职业学院犀牛大道北段</v>
      </c>
      <c r="J1748" s="120" t="str">
        <f>VLOOKUP(B1748,辅助信息!E:I,4,FALSE)</f>
        <v>程黄刚</v>
      </c>
      <c r="K1748" s="120">
        <f>VLOOKUP(J1748,辅助信息!H:I,2,FALSE)</f>
        <v>15108211617</v>
      </c>
      <c r="L1748" s="127" t="str">
        <f>VLOOKUP(B1748,辅助信息!E:J,6,FALSE)</f>
        <v>控制炉批号！多了现场不收！,优先安排达钢,提前联系到场规格及数量</v>
      </c>
      <c r="M1748" s="91">
        <v>45813</v>
      </c>
      <c r="O1748" s="62">
        <f ca="1" t="shared" si="97"/>
        <v>0</v>
      </c>
      <c r="P1748" s="62">
        <f ca="1" t="shared" si="98"/>
        <v>147</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0" t="s">
        <v>47</v>
      </c>
      <c r="C1749" s="70">
        <v>45813</v>
      </c>
      <c r="D1749" s="120" t="str">
        <f>VLOOKUP(B1749,辅助信息!E:K,7,FALSE)</f>
        <v>JWDDCD2025052800131</v>
      </c>
      <c r="E1749" s="120" t="str">
        <f>VLOOKUP(F1749,辅助信息!A:B,2,FALSE)</f>
        <v>螺纹钢</v>
      </c>
      <c r="F1749" s="120" t="s">
        <v>58</v>
      </c>
      <c r="G1749" s="121">
        <f>5+6</f>
        <v>11</v>
      </c>
      <c r="H1749" s="121">
        <f>_xlfn.XLOOKUP(C1749&amp;F1749&amp;I1749&amp;J1749,'[1]2025年已发货'!$F:$F&amp;'[1]2025年已发货'!$C:$C&amp;'[1]2025年已发货'!$G:$G&amp;'[1]2025年已发货'!$H:$H,'[1]2025年已发货'!$E:$E,"未发货")</f>
        <v>8</v>
      </c>
      <c r="I1749" s="120" t="str">
        <f>VLOOKUP(B1749,辅助信息!E:I,3,FALSE)</f>
        <v>（商投建工达州中医药科技园-1工区）达州市通川区达州中医药职业学院犀牛大道北段</v>
      </c>
      <c r="J1749" s="120" t="str">
        <f>VLOOKUP(B1749,辅助信息!E:I,4,FALSE)</f>
        <v>程黄刚</v>
      </c>
      <c r="K1749" s="120">
        <f>VLOOKUP(J1749,辅助信息!H:I,2,FALSE)</f>
        <v>15108211617</v>
      </c>
      <c r="L1749" s="127" t="str">
        <f>VLOOKUP(B1749,辅助信息!E:J,6,FALSE)</f>
        <v>控制炉批号！多了现场不收！,优先安排达钢,提前联系到场规格及数量</v>
      </c>
      <c r="M1749" s="91">
        <v>45813</v>
      </c>
      <c r="O1749" s="62">
        <f ca="1" t="shared" si="97"/>
        <v>0</v>
      </c>
      <c r="P1749" s="62">
        <f ca="1" t="shared" si="98"/>
        <v>147</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0" t="s">
        <v>47</v>
      </c>
      <c r="C1750" s="70">
        <v>45813</v>
      </c>
      <c r="D1750" s="120" t="str">
        <f>VLOOKUP(B1750,辅助信息!E:K,7,FALSE)</f>
        <v>JWDDCD2025052800131</v>
      </c>
      <c r="E1750" s="120" t="str">
        <f>VLOOKUP(F1750,辅助信息!A:B,2,FALSE)</f>
        <v>螺纹钢</v>
      </c>
      <c r="F1750" s="120" t="s">
        <v>46</v>
      </c>
      <c r="G1750" s="121">
        <f>8+6</f>
        <v>14</v>
      </c>
      <c r="H1750" s="121">
        <f>_xlfn.XLOOKUP(C1750&amp;F1750&amp;I1750&amp;J1750,'[1]2025年已发货'!$F:$F&amp;'[1]2025年已发货'!$C:$C&amp;'[1]2025年已发货'!$G:$G&amp;'[1]2025年已发货'!$H:$H,'[1]2025年已发货'!$E:$E,"未发货")</f>
        <v>10</v>
      </c>
      <c r="I1750" s="120" t="str">
        <f>VLOOKUP(B1750,辅助信息!E:I,3,FALSE)</f>
        <v>（商投建工达州中医药科技园-1工区）达州市通川区达州中医药职业学院犀牛大道北段</v>
      </c>
      <c r="J1750" s="120" t="str">
        <f>VLOOKUP(B1750,辅助信息!E:I,4,FALSE)</f>
        <v>程黄刚</v>
      </c>
      <c r="K1750" s="120">
        <f>VLOOKUP(J1750,辅助信息!H:I,2,FALSE)</f>
        <v>15108211617</v>
      </c>
      <c r="L1750" s="127" t="str">
        <f>VLOOKUP(B1750,辅助信息!E:J,6,FALSE)</f>
        <v>控制炉批号！多了现场不收！,优先安排达钢,提前联系到场规格及数量</v>
      </c>
      <c r="M1750" s="91">
        <v>45813</v>
      </c>
      <c r="O1750" s="62">
        <f ca="1" t="shared" si="97"/>
        <v>0</v>
      </c>
      <c r="P1750" s="62">
        <f ca="1" t="shared" si="98"/>
        <v>147</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0" t="s">
        <v>47</v>
      </c>
      <c r="C1751" s="70">
        <v>45813</v>
      </c>
      <c r="D1751" s="120" t="str">
        <f>VLOOKUP(B1751,辅助信息!E:K,7,FALSE)</f>
        <v>JWDDCD2025052800131</v>
      </c>
      <c r="E1751" s="120" t="str">
        <f>VLOOKUP(F1751,辅助信息!A:B,2,FALSE)</f>
        <v>螺纹钢</v>
      </c>
      <c r="F1751" s="120" t="s">
        <v>22</v>
      </c>
      <c r="G1751" s="121">
        <f>9+6</f>
        <v>15</v>
      </c>
      <c r="H1751" s="121">
        <f>_xlfn.XLOOKUP(C1751&amp;F1751&amp;I1751&amp;J1751,'[1]2025年已发货'!$F:$F&amp;'[1]2025年已发货'!$C:$C&amp;'[1]2025年已发货'!$G:$G&amp;'[1]2025年已发货'!$H:$H,'[1]2025年已发货'!$E:$E,"未发货")</f>
        <v>15</v>
      </c>
      <c r="I1751" s="120" t="str">
        <f>VLOOKUP(B1751,辅助信息!E:I,3,FALSE)</f>
        <v>（商投建工达州中医药科技园-1工区）达州市通川区达州中医药职业学院犀牛大道北段</v>
      </c>
      <c r="J1751" s="120" t="str">
        <f>VLOOKUP(B1751,辅助信息!E:I,4,FALSE)</f>
        <v>程黄刚</v>
      </c>
      <c r="K1751" s="120">
        <f>VLOOKUP(J1751,辅助信息!H:I,2,FALSE)</f>
        <v>15108211617</v>
      </c>
      <c r="L1751" s="127" t="str">
        <f>VLOOKUP(B1751,辅助信息!E:J,6,FALSE)</f>
        <v>控制炉批号！多了现场不收！,优先安排达钢,提前联系到场规格及数量</v>
      </c>
      <c r="M1751" s="91">
        <v>45813</v>
      </c>
      <c r="O1751" s="62">
        <f ca="1" t="shared" si="97"/>
        <v>0</v>
      </c>
      <c r="P1751" s="62">
        <f ca="1" t="shared" si="98"/>
        <v>147</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0" t="s">
        <v>47</v>
      </c>
      <c r="C1752" s="70">
        <v>45813</v>
      </c>
      <c r="D1752" s="120" t="str">
        <f>VLOOKUP(B1752,辅助信息!E:K,7,FALSE)</f>
        <v>JWDDCD2025052800131</v>
      </c>
      <c r="E1752" s="120" t="str">
        <f>VLOOKUP(F1752,辅助信息!A:B,2,FALSE)</f>
        <v>螺纹钢</v>
      </c>
      <c r="F1752" s="40" t="s">
        <v>19</v>
      </c>
      <c r="G1752" s="36">
        <v>56</v>
      </c>
      <c r="H1752" s="121">
        <f>_xlfn.XLOOKUP(C1752&amp;F1752&amp;I1752&amp;J1752,'[1]2025年已发货'!$F:$F&amp;'[1]2025年已发货'!$C:$C&amp;'[1]2025年已发货'!$G:$G&amp;'[1]2025年已发货'!$H:$H,'[1]2025年已发货'!$E:$E,"未发货")</f>
        <v>35</v>
      </c>
      <c r="I1752" s="120" t="str">
        <f>VLOOKUP(B1752,辅助信息!E:I,3,FALSE)</f>
        <v>（商投建工达州中医药科技园-1工区）达州市通川区达州中医药职业学院犀牛大道北段</v>
      </c>
      <c r="J1752" s="120" t="str">
        <f>VLOOKUP(B1752,辅助信息!E:I,4,FALSE)</f>
        <v>程黄刚</v>
      </c>
      <c r="K1752" s="120">
        <f>VLOOKUP(J1752,辅助信息!H:I,2,FALSE)</f>
        <v>15108211617</v>
      </c>
      <c r="L1752" s="127" t="str">
        <f>VLOOKUP(B1752,辅助信息!E:J,6,FALSE)</f>
        <v>控制炉批号！多了现场不收！,优先安排达钢,提前联系到场规格及数量</v>
      </c>
      <c r="M1752" s="91">
        <v>45813</v>
      </c>
      <c r="O1752" s="62">
        <f ca="1" t="shared" si="97"/>
        <v>0</v>
      </c>
      <c r="P1752" s="62">
        <f ca="1" t="shared" si="98"/>
        <v>147</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0">
        <v>45819</v>
      </c>
      <c r="D1753" s="120" t="str">
        <f>VLOOKUP(B1753,辅助信息!E:K,7,FALSE)</f>
        <v>JWDDCD2025051800046</v>
      </c>
      <c r="E1753" s="120" t="str">
        <f>VLOOKUP(F1753,辅助信息!A:B,2,FALSE)</f>
        <v>盘螺</v>
      </c>
      <c r="F1753" s="40" t="s">
        <v>49</v>
      </c>
      <c r="G1753" s="36">
        <v>4</v>
      </c>
      <c r="H1753" s="121">
        <v>4</v>
      </c>
      <c r="I1753" s="120" t="str">
        <f>VLOOKUP(B1753,辅助信息!E:I,3,FALSE)</f>
        <v>（华西萌海科创农业生态谷）成都市简阳市白金山水库</v>
      </c>
      <c r="J1753" s="120" t="str">
        <f>VLOOKUP(B1753,辅助信息!E:I,4,FALSE)</f>
        <v>石清国</v>
      </c>
      <c r="K1753" s="120">
        <f>VLOOKUP(J1753,辅助信息!H:I,2,FALSE)</f>
        <v>13458642015</v>
      </c>
      <c r="L1753" s="127" t="str">
        <f>VLOOKUP(B1753,辅助信息!E:J,6,FALSE)</f>
        <v>优先威钢,我方卸车,新老国标钢厂不加价可直发</v>
      </c>
      <c r="M1753" s="91">
        <v>45820</v>
      </c>
      <c r="O1753" s="62">
        <f ca="1" t="shared" ref="O1753:O1762" si="99">IF(OR(M1753="",N1753&lt;&gt;""),"",MAX(M1753-TODAY(),0))</f>
        <v>0</v>
      </c>
      <c r="P1753" s="62">
        <f ca="1" t="shared" ref="P1753:P1762" si="100">IF(M1753="","",IF(N1753&lt;&gt;"",MAX(N1753-M1753,0),IF(TODAY()&gt;M1753,TODAY()-M1753,0)))</f>
        <v>140</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0">
        <v>45819</v>
      </c>
      <c r="D1754" s="120" t="str">
        <f>VLOOKUP(B1754,辅助信息!E:K,7,FALSE)</f>
        <v>JWDDCD2025051800046</v>
      </c>
      <c r="E1754" s="120" t="str">
        <f>VLOOKUP(F1754,辅助信息!A:B,2,FALSE)</f>
        <v>盘螺</v>
      </c>
      <c r="F1754" s="40" t="s">
        <v>40</v>
      </c>
      <c r="G1754" s="36">
        <v>32</v>
      </c>
      <c r="H1754" s="121">
        <v>32</v>
      </c>
      <c r="I1754" s="120" t="str">
        <f>VLOOKUP(B1754,辅助信息!E:I,3,FALSE)</f>
        <v>（华西萌海科创农业生态谷）成都市简阳市白金山水库</v>
      </c>
      <c r="J1754" s="120" t="str">
        <f>VLOOKUP(B1754,辅助信息!E:I,4,FALSE)</f>
        <v>石清国</v>
      </c>
      <c r="K1754" s="120">
        <f>VLOOKUP(J1754,辅助信息!H:I,2,FALSE)</f>
        <v>13458642015</v>
      </c>
      <c r="L1754" s="127" t="str">
        <f>VLOOKUP(B1754,辅助信息!E:J,6,FALSE)</f>
        <v>优先威钢,我方卸车,新老国标钢厂不加价可直发</v>
      </c>
      <c r="M1754" s="91">
        <v>45820</v>
      </c>
      <c r="O1754" s="62">
        <f ca="1" t="shared" si="99"/>
        <v>0</v>
      </c>
      <c r="P1754" s="62">
        <f ca="1" t="shared" si="100"/>
        <v>140</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0">
        <v>45819</v>
      </c>
      <c r="D1755" s="120" t="str">
        <f>VLOOKUP(B1755,辅助信息!E:K,7,FALSE)</f>
        <v>JWDDCD2025051800046</v>
      </c>
      <c r="E1755" s="120" t="str">
        <f>VLOOKUP(F1755,辅助信息!A:B,2,FALSE)</f>
        <v>盘螺</v>
      </c>
      <c r="F1755" s="40" t="s">
        <v>41</v>
      </c>
      <c r="G1755" s="36">
        <v>16</v>
      </c>
      <c r="H1755" s="121">
        <v>16</v>
      </c>
      <c r="I1755" s="120" t="str">
        <f>VLOOKUP(B1755,辅助信息!E:I,3,FALSE)</f>
        <v>（华西萌海科创农业生态谷）成都市简阳市白金山水库</v>
      </c>
      <c r="J1755" s="120" t="str">
        <f>VLOOKUP(B1755,辅助信息!E:I,4,FALSE)</f>
        <v>石清国</v>
      </c>
      <c r="K1755" s="120">
        <f>VLOOKUP(J1755,辅助信息!H:I,2,FALSE)</f>
        <v>13458642015</v>
      </c>
      <c r="L1755" s="127" t="str">
        <f>VLOOKUP(B1755,辅助信息!E:J,6,FALSE)</f>
        <v>优先威钢,我方卸车,新老国标钢厂不加价可直发</v>
      </c>
      <c r="M1755" s="91">
        <v>45820</v>
      </c>
      <c r="O1755" s="62">
        <f ca="1" t="shared" si="99"/>
        <v>0</v>
      </c>
      <c r="P1755" s="62">
        <f ca="1" t="shared" si="100"/>
        <v>140</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0">
        <v>45819</v>
      </c>
      <c r="D1756" s="120" t="str">
        <f>VLOOKUP(B1756,辅助信息!E:K,7,FALSE)</f>
        <v>JWDDCD2025051800046</v>
      </c>
      <c r="E1756" s="120" t="str">
        <f>VLOOKUP(F1756,辅助信息!A:B,2,FALSE)</f>
        <v>螺纹钢</v>
      </c>
      <c r="F1756" s="40" t="s">
        <v>27</v>
      </c>
      <c r="G1756" s="36">
        <v>10</v>
      </c>
      <c r="H1756" s="121">
        <v>10</v>
      </c>
      <c r="I1756" s="120" t="str">
        <f>VLOOKUP(B1756,辅助信息!E:I,3,FALSE)</f>
        <v>（华西萌海科创农业生态谷）成都市简阳市白金山水库</v>
      </c>
      <c r="J1756" s="120" t="str">
        <f>VLOOKUP(B1756,辅助信息!E:I,4,FALSE)</f>
        <v>石清国</v>
      </c>
      <c r="K1756" s="120">
        <f>VLOOKUP(J1756,辅助信息!H:I,2,FALSE)</f>
        <v>13458642015</v>
      </c>
      <c r="L1756" s="127" t="str">
        <f>VLOOKUP(B1756,辅助信息!E:J,6,FALSE)</f>
        <v>优先威钢,我方卸车,新老国标钢厂不加价可直发</v>
      </c>
      <c r="M1756" s="91">
        <v>45820</v>
      </c>
      <c r="O1756" s="62">
        <f ca="1" t="shared" si="99"/>
        <v>0</v>
      </c>
      <c r="P1756" s="62">
        <f ca="1" t="shared" si="100"/>
        <v>140</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0">
        <v>45819</v>
      </c>
      <c r="D1757" s="120" t="str">
        <f>VLOOKUP(B1757,辅助信息!E:K,7,FALSE)</f>
        <v>JWDDCD2025051800046</v>
      </c>
      <c r="E1757" s="120" t="str">
        <f>VLOOKUP(F1757,辅助信息!A:B,2,FALSE)</f>
        <v>螺纹钢</v>
      </c>
      <c r="F1757" s="40" t="s">
        <v>19</v>
      </c>
      <c r="G1757" s="36">
        <v>6</v>
      </c>
      <c r="H1757" s="121">
        <v>6</v>
      </c>
      <c r="I1757" s="120" t="str">
        <f>VLOOKUP(B1757,辅助信息!E:I,3,FALSE)</f>
        <v>（华西萌海科创农业生态谷）成都市简阳市白金山水库</v>
      </c>
      <c r="J1757" s="120" t="str">
        <f>VLOOKUP(B1757,辅助信息!E:I,4,FALSE)</f>
        <v>石清国</v>
      </c>
      <c r="K1757" s="120">
        <f>VLOOKUP(J1757,辅助信息!H:I,2,FALSE)</f>
        <v>13458642015</v>
      </c>
      <c r="L1757" s="127" t="str">
        <f>VLOOKUP(B1757,辅助信息!E:J,6,FALSE)</f>
        <v>优先威钢,我方卸车,新老国标钢厂不加价可直发</v>
      </c>
      <c r="M1757" s="91">
        <v>45820</v>
      </c>
      <c r="O1757" s="62">
        <f ca="1" t="shared" si="99"/>
        <v>0</v>
      </c>
      <c r="P1757" s="62">
        <f ca="1" t="shared" si="100"/>
        <v>140</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0">
        <v>45819</v>
      </c>
      <c r="D1758" s="120" t="str">
        <f>VLOOKUP(B1758,辅助信息!E:K,7,FALSE)</f>
        <v>JWDDCD2025051800046</v>
      </c>
      <c r="E1758" s="120" t="str">
        <f>VLOOKUP(F1758,辅助信息!A:B,2,FALSE)</f>
        <v>螺纹钢</v>
      </c>
      <c r="F1758" s="40" t="s">
        <v>65</v>
      </c>
      <c r="G1758" s="36">
        <v>3</v>
      </c>
      <c r="H1758" s="121">
        <v>3</v>
      </c>
      <c r="I1758" s="120" t="str">
        <f>VLOOKUP(B1758,辅助信息!E:I,3,FALSE)</f>
        <v>（华西萌海科创农业生态谷）成都市简阳市白金山水库</v>
      </c>
      <c r="J1758" s="120" t="str">
        <f>VLOOKUP(B1758,辅助信息!E:I,4,FALSE)</f>
        <v>石清国</v>
      </c>
      <c r="K1758" s="120">
        <f>VLOOKUP(J1758,辅助信息!H:I,2,FALSE)</f>
        <v>13458642015</v>
      </c>
      <c r="L1758" s="127" t="str">
        <f>VLOOKUP(B1758,辅助信息!E:J,6,FALSE)</f>
        <v>优先威钢,我方卸车,新老国标钢厂不加价可直发</v>
      </c>
      <c r="M1758" s="91">
        <v>45820</v>
      </c>
      <c r="O1758" s="62">
        <f ca="1" t="shared" si="99"/>
        <v>0</v>
      </c>
      <c r="P1758" s="62">
        <f ca="1" t="shared" si="100"/>
        <v>140</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0">
        <v>45819</v>
      </c>
      <c r="D1759" s="120" t="str">
        <f>VLOOKUP(B1759,辅助信息!E:K,7,FALSE)</f>
        <v>JWDDCD2025060900080</v>
      </c>
      <c r="E1759" s="120" t="str">
        <f>VLOOKUP(F1759,辅助信息!A:B,2,FALSE)</f>
        <v>盘螺</v>
      </c>
      <c r="F1759" s="40" t="s">
        <v>40</v>
      </c>
      <c r="G1759" s="36">
        <v>5</v>
      </c>
      <c r="H1759" s="121" t="str">
        <f>_xlfn.XLOOKUP(C1759&amp;F1759&amp;I1759&amp;J1759,'[1]2025年已发货'!$F:$F&amp;'[1]2025年已发货'!$C:$C&amp;'[1]2025年已发货'!$G:$G&amp;'[1]2025年已发货'!$H:$H,'[1]2025年已发货'!$E:$E,"未发货")</f>
        <v>未发货</v>
      </c>
      <c r="I1759" s="120" t="str">
        <f>VLOOKUP(B1759,辅助信息!E:I,3,FALSE)</f>
        <v>（华西简阳西城嘉苑）四川省成都市简阳市简城街道高屋村</v>
      </c>
      <c r="J1759" s="120" t="str">
        <f>VLOOKUP(B1759,辅助信息!E:I,4,FALSE)</f>
        <v>张瀚镭</v>
      </c>
      <c r="K1759" s="120">
        <f>VLOOKUP(J1759,辅助信息!H:I,2,FALSE)</f>
        <v>15884666220</v>
      </c>
      <c r="L1759" s="127" t="str">
        <f>VLOOKUP(B1759,辅助信息!E:J,6,FALSE)</f>
        <v>现场禁止使用氢能源挂车！优先威钢发货,我方卸车,新老国标钢厂不加价可直发，因陕钢多次出现磅差，项目拒绝使用</v>
      </c>
      <c r="M1759" s="91">
        <v>45819</v>
      </c>
      <c r="O1759" s="62">
        <f ca="1" t="shared" si="99"/>
        <v>0</v>
      </c>
      <c r="P1759" s="62">
        <f ca="1" t="shared" si="100"/>
        <v>141</v>
      </c>
      <c r="Q1759" s="29" t="str">
        <f>VLOOKUP(B1759,辅助信息!E:M,9,FALSE)</f>
        <v>ZTWM-CDGS-XS-2024-0030-华西集采-简州大道</v>
      </c>
      <c r="R1759" s="29" t="str">
        <f>_xlfn._xlws.FILTER(辅助信息!D:D,辅助信息!E:E=B1759)</f>
        <v>华西简阳西城嘉苑</v>
      </c>
    </row>
    <row r="1760" hidden="1" spans="2:18">
      <c r="B1760" s="40" t="s">
        <v>81</v>
      </c>
      <c r="C1760" s="70">
        <v>45819</v>
      </c>
      <c r="D1760" s="120" t="str">
        <f>VLOOKUP(B1760,辅助信息!E:K,7,FALSE)</f>
        <v>JWDDCD2025060900080</v>
      </c>
      <c r="E1760" s="120" t="str">
        <f>VLOOKUP(F1760,辅助信息!A:B,2,FALSE)</f>
        <v>盘螺</v>
      </c>
      <c r="F1760" s="40" t="s">
        <v>41</v>
      </c>
      <c r="G1760" s="36">
        <v>14</v>
      </c>
      <c r="H1760" s="121" t="str">
        <f>_xlfn.XLOOKUP(C1760&amp;F1760&amp;I1760&amp;J1760,'[1]2025年已发货'!$F:$F&amp;'[1]2025年已发货'!$C:$C&amp;'[1]2025年已发货'!$G:$G&amp;'[1]2025年已发货'!$H:$H,'[1]2025年已发货'!$E:$E,"未发货")</f>
        <v>未发货</v>
      </c>
      <c r="I1760" s="120" t="str">
        <f>VLOOKUP(B1760,辅助信息!E:I,3,FALSE)</f>
        <v>（华西简阳西城嘉苑）四川省成都市简阳市简城街道高屋村</v>
      </c>
      <c r="J1760" s="120" t="str">
        <f>VLOOKUP(B1760,辅助信息!E:I,4,FALSE)</f>
        <v>张瀚镭</v>
      </c>
      <c r="K1760" s="120">
        <f>VLOOKUP(J1760,辅助信息!H:I,2,FALSE)</f>
        <v>15884666220</v>
      </c>
      <c r="L1760" s="127" t="str">
        <f>VLOOKUP(B1760,辅助信息!E:J,6,FALSE)</f>
        <v>现场禁止使用氢能源挂车！优先威钢发货,我方卸车,新老国标钢厂不加价可直发，因陕钢多次出现磅差，项目拒绝使用</v>
      </c>
      <c r="M1760" s="91">
        <v>45819</v>
      </c>
      <c r="O1760" s="62">
        <f ca="1" t="shared" si="99"/>
        <v>0</v>
      </c>
      <c r="P1760" s="62">
        <f ca="1" t="shared" si="100"/>
        <v>141</v>
      </c>
      <c r="Q1760" s="29" t="str">
        <f>VLOOKUP(B1760,辅助信息!E:M,9,FALSE)</f>
        <v>ZTWM-CDGS-XS-2024-0030-华西集采-简州大道</v>
      </c>
      <c r="R1760" s="29" t="str">
        <f>_xlfn._xlws.FILTER(辅助信息!D:D,辅助信息!E:E=B1760)</f>
        <v>华西简阳西城嘉苑</v>
      </c>
    </row>
    <row r="1761" hidden="1" spans="2:18">
      <c r="B1761" s="40" t="s">
        <v>81</v>
      </c>
      <c r="C1761" s="70">
        <v>45819</v>
      </c>
      <c r="D1761" s="120" t="str">
        <f>VLOOKUP(B1761,辅助信息!E:K,7,FALSE)</f>
        <v>JWDDCD2025060900080</v>
      </c>
      <c r="E1761" s="120" t="str">
        <f>VLOOKUP(F1761,辅助信息!A:B,2,FALSE)</f>
        <v>盘螺</v>
      </c>
      <c r="F1761" s="40" t="s">
        <v>26</v>
      </c>
      <c r="G1761" s="36">
        <v>33</v>
      </c>
      <c r="H1761" s="121">
        <f>_xlfn.XLOOKUP(C1761&amp;F1761&amp;I1761&amp;J1761,'[1]2025年已发货'!$F:$F&amp;'[1]2025年已发货'!$C:$C&amp;'[1]2025年已发货'!$G:$G&amp;'[1]2025年已发货'!$H:$H,'[1]2025年已发货'!$E:$E,"未发货")</f>
        <v>30</v>
      </c>
      <c r="I1761" s="120" t="str">
        <f>VLOOKUP(B1761,辅助信息!E:I,3,FALSE)</f>
        <v>（华西简阳西城嘉苑）四川省成都市简阳市简城街道高屋村</v>
      </c>
      <c r="J1761" s="120" t="str">
        <f>VLOOKUP(B1761,辅助信息!E:I,4,FALSE)</f>
        <v>张瀚镭</v>
      </c>
      <c r="K1761" s="120">
        <f>VLOOKUP(J1761,辅助信息!H:I,2,FALSE)</f>
        <v>15884666220</v>
      </c>
      <c r="L1761" s="127" t="str">
        <f>VLOOKUP(B1761,辅助信息!E:J,6,FALSE)</f>
        <v>现场禁止使用氢能源挂车！优先威钢发货,我方卸车,新老国标钢厂不加价可直发，因陕钢多次出现磅差，项目拒绝使用</v>
      </c>
      <c r="M1761" s="91">
        <v>45819</v>
      </c>
      <c r="O1761" s="62">
        <f ca="1" t="shared" si="99"/>
        <v>0</v>
      </c>
      <c r="P1761" s="62">
        <f ca="1" t="shared" si="100"/>
        <v>141</v>
      </c>
      <c r="Q1761" s="29" t="str">
        <f>VLOOKUP(B1761,辅助信息!E:M,9,FALSE)</f>
        <v>ZTWM-CDGS-XS-2024-0030-华西集采-简州大道</v>
      </c>
      <c r="R1761" s="29" t="str">
        <f>_xlfn._xlws.FILTER(辅助信息!D:D,辅助信息!E:E=B1761)</f>
        <v>华西简阳西城嘉苑</v>
      </c>
    </row>
    <row r="1762" hidden="1" spans="2:18">
      <c r="B1762" s="40" t="s">
        <v>81</v>
      </c>
      <c r="C1762" s="70">
        <v>45819</v>
      </c>
      <c r="D1762" s="120" t="str">
        <f>VLOOKUP(B1762,辅助信息!E:K,7,FALSE)</f>
        <v>JWDDCD2025060900080</v>
      </c>
      <c r="E1762" s="120" t="str">
        <f>VLOOKUP(F1762,辅助信息!A:B,2,FALSE)</f>
        <v>螺纹钢</v>
      </c>
      <c r="F1762" s="40" t="s">
        <v>32</v>
      </c>
      <c r="G1762" s="36">
        <v>22</v>
      </c>
      <c r="H1762" s="121">
        <f>_xlfn.XLOOKUP(C1762&amp;F1762&amp;I1762&amp;J1762,'[1]2025年已发货'!$F:$F&amp;'[1]2025年已发货'!$C:$C&amp;'[1]2025年已发货'!$G:$G&amp;'[1]2025年已发货'!$H:$H,'[1]2025年已发货'!$E:$E,"未发货")</f>
        <v>5</v>
      </c>
      <c r="I1762" s="120" t="str">
        <f>VLOOKUP(B1762,辅助信息!E:I,3,FALSE)</f>
        <v>（华西简阳西城嘉苑）四川省成都市简阳市简城街道高屋村</v>
      </c>
      <c r="J1762" s="120" t="str">
        <f>VLOOKUP(B1762,辅助信息!E:I,4,FALSE)</f>
        <v>张瀚镭</v>
      </c>
      <c r="K1762" s="120">
        <f>VLOOKUP(J1762,辅助信息!H:I,2,FALSE)</f>
        <v>15884666220</v>
      </c>
      <c r="L1762" s="127" t="str">
        <f>VLOOKUP(B1762,辅助信息!E:J,6,FALSE)</f>
        <v>现场禁止使用氢能源挂车！优先威钢发货,我方卸车,新老国标钢厂不加价可直发，因陕钢多次出现磅差，项目拒绝使用</v>
      </c>
      <c r="M1762" s="91">
        <v>45819</v>
      </c>
      <c r="O1762" s="62">
        <f ca="1" t="shared" si="99"/>
        <v>0</v>
      </c>
      <c r="P1762" s="62">
        <f ca="1" t="shared" si="100"/>
        <v>141</v>
      </c>
      <c r="Q1762" s="29" t="str">
        <f>VLOOKUP(B1762,辅助信息!E:M,9,FALSE)</f>
        <v>ZTWM-CDGS-XS-2024-0030-华西集采-简州大道</v>
      </c>
      <c r="R1762" s="29" t="str">
        <f>_xlfn._xlws.FILTER(辅助信息!D:D,辅助信息!E:E=B1762)</f>
        <v>华西简阳西城嘉苑</v>
      </c>
    </row>
    <row r="1763" hidden="1" spans="2:18">
      <c r="B1763" s="40" t="s">
        <v>161</v>
      </c>
      <c r="C1763" s="70">
        <v>45819</v>
      </c>
      <c r="D1763" s="120" t="str">
        <f>VLOOKUP(B1763,辅助信息!E:K,7,FALSE)</f>
        <v>JWDD2025071500089</v>
      </c>
      <c r="E1763" s="120" t="str">
        <f>VLOOKUP(F1763,辅助信息!A:B,2,FALSE)</f>
        <v>盘螺</v>
      </c>
      <c r="F1763" s="40" t="s">
        <v>41</v>
      </c>
      <c r="G1763" s="36">
        <v>16</v>
      </c>
      <c r="H1763" s="121" t="str">
        <f>_xlfn.XLOOKUP(C1763&amp;F1763&amp;I1763&amp;J1763,'[1]2025年已发货'!$F:$F&amp;'[1]2025年已发货'!$C:$C&amp;'[1]2025年已发货'!$G:$G&amp;'[1]2025年已发货'!$H:$H,'[1]2025年已发货'!$E:$E,"未发货")</f>
        <v>未发货</v>
      </c>
      <c r="I1763" s="120" t="str">
        <f>VLOOKUP(B1763,辅助信息!E:I,3,FALSE)</f>
        <v>(宜宾兴港三江新区长江工业园保障性租赁住房建设项目-1标)四川省宜宾市翠屏区永善路南段宜宾市三江新区长江工业园区</v>
      </c>
      <c r="J1763" s="120" t="str">
        <f>VLOOKUP(B1763,辅助信息!E:I,4,FALSE)</f>
        <v>赵元虎</v>
      </c>
      <c r="K1763" s="120">
        <f>VLOOKUP(J1763,辅助信息!H:I,2,FALSE)</f>
        <v>13684167136</v>
      </c>
      <c r="L1763" s="127" t="str">
        <f>VLOOKUP(B1763,辅助信息!E:J,6,FALSE)</f>
        <v>现场要求调度统一联系指定收货人，不单独发司机位置。锈货不收，装货前联系收货人核实到场规格,没提前告知进场规格现场不给予接收</v>
      </c>
      <c r="M1763" s="91">
        <v>45819</v>
      </c>
      <c r="O1763" s="62">
        <f ca="1" t="shared" ref="O1763:O1783" si="101">IF(OR(M1763="",N1763&lt;&gt;""),"",MAX(M1763-TODAY(),0))</f>
        <v>0</v>
      </c>
      <c r="P1763" s="62">
        <f ca="1" t="shared" ref="P1763:P1783" si="102">IF(M1763="","",IF(N1763&lt;&gt;"",MAX(N1763-M1763,0),IF(TODAY()&gt;M1763,TODAY()-M1763,0)))</f>
        <v>141</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0">
        <v>45819</v>
      </c>
      <c r="D1764" s="120" t="str">
        <f>VLOOKUP(B1764,辅助信息!E:K,7,FALSE)</f>
        <v>JWDD2025071500089</v>
      </c>
      <c r="E1764" s="120" t="str">
        <f>VLOOKUP(F1764,辅助信息!A:B,2,FALSE)</f>
        <v>盘螺</v>
      </c>
      <c r="F1764" s="40" t="s">
        <v>26</v>
      </c>
      <c r="G1764" s="36">
        <v>9</v>
      </c>
      <c r="H1764" s="121" t="str">
        <f>_xlfn.XLOOKUP(C1764&amp;F1764&amp;I1764&amp;J1764,'[1]2025年已发货'!$F:$F&amp;'[1]2025年已发货'!$C:$C&amp;'[1]2025年已发货'!$G:$G&amp;'[1]2025年已发货'!$H:$H,'[1]2025年已发货'!$E:$E,"未发货")</f>
        <v>未发货</v>
      </c>
      <c r="I1764" s="120" t="str">
        <f>VLOOKUP(B1764,辅助信息!E:I,3,FALSE)</f>
        <v>(宜宾兴港三江新区长江工业园保障性租赁住房建设项目-1标)四川省宜宾市翠屏区永善路南段宜宾市三江新区长江工业园区</v>
      </c>
      <c r="J1764" s="120" t="str">
        <f>VLOOKUP(B1764,辅助信息!E:I,4,FALSE)</f>
        <v>赵元虎</v>
      </c>
      <c r="K1764" s="120">
        <f>VLOOKUP(J1764,辅助信息!H:I,2,FALSE)</f>
        <v>13684167136</v>
      </c>
      <c r="L1764" s="127" t="str">
        <f>VLOOKUP(B1764,辅助信息!E:J,6,FALSE)</f>
        <v>现场要求调度统一联系指定收货人，不单独发司机位置。锈货不收，装货前联系收货人核实到场规格,没提前告知进场规格现场不给予接收</v>
      </c>
      <c r="M1764" s="91">
        <v>45819</v>
      </c>
      <c r="O1764" s="62">
        <f ca="1" t="shared" si="101"/>
        <v>0</v>
      </c>
      <c r="P1764" s="62">
        <f ca="1" t="shared" si="102"/>
        <v>141</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0">
        <v>45819</v>
      </c>
      <c r="D1765" s="120" t="str">
        <f>VLOOKUP(B1765,辅助信息!E:K,7,FALSE)</f>
        <v>JWDD2025071500089</v>
      </c>
      <c r="E1765" s="120" t="str">
        <f>VLOOKUP(F1765,辅助信息!A:B,2,FALSE)</f>
        <v>螺纹钢</v>
      </c>
      <c r="F1765" s="40" t="s">
        <v>19</v>
      </c>
      <c r="G1765" s="36">
        <v>4</v>
      </c>
      <c r="H1765" s="121" t="str">
        <f>_xlfn.XLOOKUP(C1765&amp;F1765&amp;I1765&amp;J1765,'[1]2025年已发货'!$F:$F&amp;'[1]2025年已发货'!$C:$C&amp;'[1]2025年已发货'!$G:$G&amp;'[1]2025年已发货'!$H:$H,'[1]2025年已发货'!$E:$E,"未发货")</f>
        <v>未发货</v>
      </c>
      <c r="I1765" s="120" t="str">
        <f>VLOOKUP(B1765,辅助信息!E:I,3,FALSE)</f>
        <v>(宜宾兴港三江新区长江工业园保障性租赁住房建设项目-1标)四川省宜宾市翠屏区永善路南段宜宾市三江新区长江工业园区</v>
      </c>
      <c r="J1765" s="120" t="str">
        <f>VLOOKUP(B1765,辅助信息!E:I,4,FALSE)</f>
        <v>赵元虎</v>
      </c>
      <c r="K1765" s="120">
        <f>VLOOKUP(J1765,辅助信息!H:I,2,FALSE)</f>
        <v>13684167136</v>
      </c>
      <c r="L1765" s="127" t="str">
        <f>VLOOKUP(B1765,辅助信息!E:J,6,FALSE)</f>
        <v>现场要求调度统一联系指定收货人，不单独发司机位置。锈货不收，装货前联系收货人核实到场规格,没提前告知进场规格现场不给予接收</v>
      </c>
      <c r="M1765" s="91">
        <v>45819</v>
      </c>
      <c r="O1765" s="62">
        <f ca="1" t="shared" si="101"/>
        <v>0</v>
      </c>
      <c r="P1765" s="62">
        <f ca="1" t="shared" si="102"/>
        <v>141</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0">
        <v>45819</v>
      </c>
      <c r="D1766" s="120" t="str">
        <f>VLOOKUP(B1766,辅助信息!E:K,7,FALSE)</f>
        <v>JWDD2025071500089</v>
      </c>
      <c r="E1766" s="120" t="str">
        <f>VLOOKUP(F1766,辅助信息!A:B,2,FALSE)</f>
        <v>螺纹钢</v>
      </c>
      <c r="F1766" s="40" t="s">
        <v>30</v>
      </c>
      <c r="G1766" s="36">
        <v>90</v>
      </c>
      <c r="H1766" s="121" t="str">
        <f>_xlfn.XLOOKUP(C1766&amp;F1766&amp;I1766&amp;J1766,'[1]2025年已发货'!$F:$F&amp;'[1]2025年已发货'!$C:$C&amp;'[1]2025年已发货'!$G:$G&amp;'[1]2025年已发货'!$H:$H,'[1]2025年已发货'!$E:$E,"未发货")</f>
        <v>未发货</v>
      </c>
      <c r="I1766" s="120" t="str">
        <f>VLOOKUP(B1766,辅助信息!E:I,3,FALSE)</f>
        <v>(宜宾兴港三江新区长江工业园保障性租赁住房建设项目-1标)四川省宜宾市翠屏区永善路南段宜宾市三江新区长江工业园区</v>
      </c>
      <c r="J1766" s="120" t="str">
        <f>VLOOKUP(B1766,辅助信息!E:I,4,FALSE)</f>
        <v>赵元虎</v>
      </c>
      <c r="K1766" s="120">
        <f>VLOOKUP(J1766,辅助信息!H:I,2,FALSE)</f>
        <v>13684167136</v>
      </c>
      <c r="L1766" s="127" t="str">
        <f>VLOOKUP(B1766,辅助信息!E:J,6,FALSE)</f>
        <v>现场要求调度统一联系指定收货人，不单独发司机位置。锈货不收，装货前联系收货人核实到场规格,没提前告知进场规格现场不给予接收</v>
      </c>
      <c r="M1766" s="91">
        <v>45819</v>
      </c>
      <c r="O1766" s="62">
        <f ca="1" t="shared" si="101"/>
        <v>0</v>
      </c>
      <c r="P1766" s="62">
        <f ca="1" t="shared" si="102"/>
        <v>141</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0">
        <v>45819</v>
      </c>
      <c r="D1767" s="120" t="str">
        <f>VLOOKUP(B1767,辅助信息!E:K,7,FALSE)</f>
        <v>JWDD2025071500089</v>
      </c>
      <c r="E1767" s="120" t="str">
        <f>VLOOKUP(F1767,辅助信息!A:B,2,FALSE)</f>
        <v>盘螺</v>
      </c>
      <c r="F1767" s="40" t="s">
        <v>41</v>
      </c>
      <c r="G1767" s="36">
        <v>30</v>
      </c>
      <c r="H1767" s="121" t="str">
        <f>_xlfn.XLOOKUP(C1767&amp;F1767&amp;I1767&amp;J1767,'[1]2025年已发货'!$F:$F&amp;'[1]2025年已发货'!$C:$C&amp;'[1]2025年已发货'!$G:$G&amp;'[1]2025年已发货'!$H:$H,'[1]2025年已发货'!$E:$E,"未发货")</f>
        <v>未发货</v>
      </c>
      <c r="I1767" s="120" t="str">
        <f>VLOOKUP(B1767,辅助信息!E:I,3,FALSE)</f>
        <v>(宜宾兴港三江新区长江工业园保障性租赁住房建设项目-2标)四川省宜宾市翠屏区永善路南段宜宾市三江新区长江工业园区</v>
      </c>
      <c r="J1767" s="120" t="str">
        <f>VLOOKUP(B1767,辅助信息!E:I,4,FALSE)</f>
        <v>赵元虎</v>
      </c>
      <c r="K1767" s="120">
        <f>VLOOKUP(J1767,辅助信息!H:I,2,FALSE)</f>
        <v>13684167136</v>
      </c>
      <c r="L1767" s="127" t="str">
        <f>VLOOKUP(B1767,辅助信息!E:J,6,FALSE)</f>
        <v>现场要求调度统一联系指定收货人，不单独发司机位置。锈货不收，装货前联系收货人核实到场规格,没提前告知进场规格现场不给予接收</v>
      </c>
      <c r="M1767" s="91">
        <v>45819</v>
      </c>
      <c r="O1767" s="62">
        <f ca="1" t="shared" si="101"/>
        <v>0</v>
      </c>
      <c r="P1767" s="62">
        <f ca="1" t="shared" si="102"/>
        <v>141</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0">
        <v>45819</v>
      </c>
      <c r="D1768" s="120" t="str">
        <f>VLOOKUP(B1768,辅助信息!E:K,7,FALSE)</f>
        <v>JWDD2025071500089</v>
      </c>
      <c r="E1768" s="120" t="str">
        <f>VLOOKUP(F1768,辅助信息!A:B,2,FALSE)</f>
        <v>盘螺</v>
      </c>
      <c r="F1768" s="40" t="s">
        <v>26</v>
      </c>
      <c r="G1768" s="36">
        <v>10</v>
      </c>
      <c r="H1768" s="121" t="str">
        <f>_xlfn.XLOOKUP(C1768&amp;F1768&amp;I1768&amp;J1768,'[1]2025年已发货'!$F:$F&amp;'[1]2025年已发货'!$C:$C&amp;'[1]2025年已发货'!$G:$G&amp;'[1]2025年已发货'!$H:$H,'[1]2025年已发货'!$E:$E,"未发货")</f>
        <v>未发货</v>
      </c>
      <c r="I1768" s="120" t="str">
        <f>VLOOKUP(B1768,辅助信息!E:I,3,FALSE)</f>
        <v>(宜宾兴港三江新区长江工业园保障性租赁住房建设项目-2标)四川省宜宾市翠屏区永善路南段宜宾市三江新区长江工业园区</v>
      </c>
      <c r="J1768" s="120" t="str">
        <f>VLOOKUP(B1768,辅助信息!E:I,4,FALSE)</f>
        <v>赵元虎</v>
      </c>
      <c r="K1768" s="120">
        <f>VLOOKUP(J1768,辅助信息!H:I,2,FALSE)</f>
        <v>13684167136</v>
      </c>
      <c r="L1768" s="127" t="str">
        <f>VLOOKUP(B1768,辅助信息!E:J,6,FALSE)</f>
        <v>现场要求调度统一联系指定收货人，不单独发司机位置。锈货不收，装货前联系收货人核实到场规格,没提前告知进场规格现场不给予接收</v>
      </c>
      <c r="M1768" s="91">
        <v>45819</v>
      </c>
      <c r="O1768" s="62">
        <f ca="1" t="shared" si="101"/>
        <v>0</v>
      </c>
      <c r="P1768" s="62">
        <f ca="1" t="shared" si="102"/>
        <v>141</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3" t="s">
        <v>162</v>
      </c>
      <c r="C1769" s="84">
        <v>45819</v>
      </c>
      <c r="D1769" s="124" t="str">
        <f>VLOOKUP(B1769,辅助信息!E:K,7,FALSE)</f>
        <v>JWDD2025071500089</v>
      </c>
      <c r="E1769" s="124" t="str">
        <f>VLOOKUP(F1769,辅助信息!A:B,2,FALSE)</f>
        <v>螺纹钢</v>
      </c>
      <c r="F1769" s="83" t="s">
        <v>30</v>
      </c>
      <c r="G1769" s="85">
        <v>60</v>
      </c>
      <c r="H1769" s="125" t="str">
        <f>_xlfn.XLOOKUP(C1769&amp;F1769&amp;I1769&amp;J1769,'[1]2025年已发货'!$F:$F&amp;'[1]2025年已发货'!$C:$C&amp;'[1]2025年已发货'!$G:$G&amp;'[1]2025年已发货'!$H:$H,'[1]2025年已发货'!$E:$E,"未发货")</f>
        <v>未发货</v>
      </c>
      <c r="I1769" s="124" t="str">
        <f>VLOOKUP(B1769,辅助信息!E:I,3,FALSE)</f>
        <v>(宜宾兴港三江新区长江工业园保障性租赁住房建设项目-2标)四川省宜宾市翠屏区永善路南段宜宾市三江新区长江工业园区</v>
      </c>
      <c r="J1769" s="124" t="str">
        <f>VLOOKUP(B1769,辅助信息!E:I,4,FALSE)</f>
        <v>赵元虎</v>
      </c>
      <c r="K1769" s="124">
        <f>VLOOKUP(J1769,辅助信息!H:I,2,FALSE)</f>
        <v>13684167136</v>
      </c>
      <c r="L1769" s="127" t="str">
        <f>VLOOKUP(B1769,辅助信息!E:J,6,FALSE)</f>
        <v>现场要求调度统一联系指定收货人，不单独发司机位置。锈货不收，装货前联系收货人核实到场规格,没提前告知进场规格现场不给予接收</v>
      </c>
      <c r="M1769" s="91">
        <v>45819</v>
      </c>
      <c r="O1769" s="62">
        <f ca="1" t="shared" si="101"/>
        <v>0</v>
      </c>
      <c r="P1769" s="62">
        <f ca="1" t="shared" si="102"/>
        <v>141</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0" t="s">
        <v>81</v>
      </c>
      <c r="C1770" s="70">
        <v>45820</v>
      </c>
      <c r="D1770" s="120" t="str">
        <f>VLOOKUP(B1770,辅助信息!E:K,7,FALSE)</f>
        <v>JWDDCD2025060900080</v>
      </c>
      <c r="E1770" s="120" t="str">
        <f>VLOOKUP(F1770,辅助信息!A:B,2,FALSE)</f>
        <v>盘螺</v>
      </c>
      <c r="F1770" s="120" t="s">
        <v>40</v>
      </c>
      <c r="G1770" s="121">
        <v>5</v>
      </c>
      <c r="H1770" s="121">
        <v>5</v>
      </c>
      <c r="I1770" s="120" t="str">
        <f>VLOOKUP(B1770,辅助信息!E:I,3,FALSE)</f>
        <v>（华西简阳西城嘉苑）四川省成都市简阳市简城街道高屋村</v>
      </c>
      <c r="J1770" s="120" t="str">
        <f>VLOOKUP(B1770,辅助信息!E:I,4,FALSE)</f>
        <v>张瀚镭</v>
      </c>
      <c r="K1770" s="120">
        <f>VLOOKUP(J1770,辅助信息!H:I,2,FALSE)</f>
        <v>15884666220</v>
      </c>
      <c r="L1770" s="122" t="str">
        <f>VLOOKUP(B1770,辅助信息!E:J,6,FALSE)</f>
        <v>现场禁止使用氢能源挂车！优先威钢发货,我方卸车,新老国标钢厂不加价可直发，因陕钢多次出现磅差，项目拒绝使用</v>
      </c>
      <c r="M1770" s="91">
        <v>45819</v>
      </c>
      <c r="O1770" s="62">
        <f ca="1" t="shared" si="101"/>
        <v>0</v>
      </c>
      <c r="P1770" s="62">
        <f ca="1" t="shared" si="102"/>
        <v>141</v>
      </c>
      <c r="Q1770" s="29" t="str">
        <f>VLOOKUP(B1770,辅助信息!E:M,9,FALSE)</f>
        <v>ZTWM-CDGS-XS-2024-0030-华西集采-简州大道</v>
      </c>
      <c r="R1770" s="29" t="str">
        <f>_xlfn._xlws.FILTER(辅助信息!D:D,辅助信息!E:E=B1770)</f>
        <v>华西简阳西城嘉苑</v>
      </c>
    </row>
    <row r="1771" hidden="1" spans="2:18">
      <c r="B1771" s="120" t="s">
        <v>81</v>
      </c>
      <c r="C1771" s="70">
        <v>45820</v>
      </c>
      <c r="D1771" s="120" t="str">
        <f>VLOOKUP(B1771,辅助信息!E:K,7,FALSE)</f>
        <v>JWDDCD2025060900080</v>
      </c>
      <c r="E1771" s="120" t="str">
        <f>VLOOKUP(F1771,辅助信息!A:B,2,FALSE)</f>
        <v>盘螺</v>
      </c>
      <c r="F1771" s="120" t="s">
        <v>41</v>
      </c>
      <c r="G1771" s="121">
        <v>14</v>
      </c>
      <c r="H1771" s="121">
        <v>15</v>
      </c>
      <c r="I1771" s="120" t="str">
        <f>VLOOKUP(B1771,辅助信息!E:I,3,FALSE)</f>
        <v>（华西简阳西城嘉苑）四川省成都市简阳市简城街道高屋村</v>
      </c>
      <c r="J1771" s="120" t="str">
        <f>VLOOKUP(B1771,辅助信息!E:I,4,FALSE)</f>
        <v>张瀚镭</v>
      </c>
      <c r="K1771" s="120">
        <f>VLOOKUP(J1771,辅助信息!H:I,2,FALSE)</f>
        <v>15884666220</v>
      </c>
      <c r="L1771" s="122" t="str">
        <f>VLOOKUP(B1771,辅助信息!E:J,6,FALSE)</f>
        <v>现场禁止使用氢能源挂车！优先威钢发货,我方卸车,新老国标钢厂不加价可直发，因陕钢多次出现磅差，项目拒绝使用</v>
      </c>
      <c r="M1771" s="91">
        <v>45819</v>
      </c>
      <c r="O1771" s="62">
        <f ca="1" t="shared" si="101"/>
        <v>0</v>
      </c>
      <c r="P1771" s="62">
        <f ca="1" t="shared" si="102"/>
        <v>141</v>
      </c>
      <c r="Q1771" s="29" t="str">
        <f>VLOOKUP(B1771,辅助信息!E:M,9,FALSE)</f>
        <v>ZTWM-CDGS-XS-2024-0030-华西集采-简州大道</v>
      </c>
      <c r="R1771" s="29" t="str">
        <f>_xlfn._xlws.FILTER(辅助信息!D:D,辅助信息!E:E=B1771)</f>
        <v>华西简阳西城嘉苑</v>
      </c>
    </row>
    <row r="1772" hidden="1" spans="2:18">
      <c r="B1772" s="120" t="s">
        <v>81</v>
      </c>
      <c r="C1772" s="70">
        <v>45820</v>
      </c>
      <c r="D1772" s="120" t="str">
        <f>VLOOKUP(B1772,辅助信息!E:K,7,FALSE)</f>
        <v>JWDDCD2025060900080</v>
      </c>
      <c r="E1772" s="120" t="str">
        <f>VLOOKUP(F1772,辅助信息!A:B,2,FALSE)</f>
        <v>盘螺</v>
      </c>
      <c r="F1772" s="120" t="s">
        <v>26</v>
      </c>
      <c r="G1772" s="121">
        <v>3</v>
      </c>
      <c r="H1772" s="121">
        <v>2.5</v>
      </c>
      <c r="I1772" s="120" t="str">
        <f>VLOOKUP(B1772,辅助信息!E:I,3,FALSE)</f>
        <v>（华西简阳西城嘉苑）四川省成都市简阳市简城街道高屋村</v>
      </c>
      <c r="J1772" s="120" t="str">
        <f>VLOOKUP(B1772,辅助信息!E:I,4,FALSE)</f>
        <v>张瀚镭</v>
      </c>
      <c r="K1772" s="120">
        <f>VLOOKUP(J1772,辅助信息!H:I,2,FALSE)</f>
        <v>15884666220</v>
      </c>
      <c r="L1772" s="122" t="str">
        <f>VLOOKUP(B1772,辅助信息!E:J,6,FALSE)</f>
        <v>现场禁止使用氢能源挂车！优先威钢发货,我方卸车,新老国标钢厂不加价可直发，因陕钢多次出现磅差，项目拒绝使用</v>
      </c>
      <c r="M1772" s="91">
        <v>45819</v>
      </c>
      <c r="O1772" s="62">
        <f ca="1" t="shared" si="101"/>
        <v>0</v>
      </c>
      <c r="P1772" s="62">
        <f ca="1" t="shared" si="102"/>
        <v>141</v>
      </c>
      <c r="Q1772" s="29" t="str">
        <f>VLOOKUP(B1772,辅助信息!E:M,9,FALSE)</f>
        <v>ZTWM-CDGS-XS-2024-0030-华西集采-简州大道</v>
      </c>
      <c r="R1772" s="29" t="str">
        <f>_xlfn._xlws.FILTER(辅助信息!D:D,辅助信息!E:E=B1772)</f>
        <v>华西简阳西城嘉苑</v>
      </c>
    </row>
    <row r="1773" hidden="1" spans="2:18">
      <c r="B1773" s="120" t="s">
        <v>81</v>
      </c>
      <c r="C1773" s="70">
        <v>45820</v>
      </c>
      <c r="D1773" s="120" t="str">
        <f>VLOOKUP(B1773,辅助信息!E:K,7,FALSE)</f>
        <v>JWDDCD2025060900080</v>
      </c>
      <c r="E1773" s="120" t="str">
        <f>VLOOKUP(F1773,辅助信息!A:B,2,FALSE)</f>
        <v>螺纹钢</v>
      </c>
      <c r="F1773" s="120" t="s">
        <v>32</v>
      </c>
      <c r="G1773" s="121">
        <f>22-5</f>
        <v>17</v>
      </c>
      <c r="H1773" s="121">
        <v>15</v>
      </c>
      <c r="I1773" s="120" t="str">
        <f>VLOOKUP(B1773,辅助信息!E:I,3,FALSE)</f>
        <v>（华西简阳西城嘉苑）四川省成都市简阳市简城街道高屋村</v>
      </c>
      <c r="J1773" s="120" t="str">
        <f>VLOOKUP(B1773,辅助信息!E:I,4,FALSE)</f>
        <v>张瀚镭</v>
      </c>
      <c r="K1773" s="120">
        <f>VLOOKUP(J1773,辅助信息!H:I,2,FALSE)</f>
        <v>15884666220</v>
      </c>
      <c r="L1773" s="122" t="str">
        <f>VLOOKUP(B1773,辅助信息!E:J,6,FALSE)</f>
        <v>现场禁止使用氢能源挂车！优先威钢发货,我方卸车,新老国标钢厂不加价可直发，因陕钢多次出现磅差，项目拒绝使用</v>
      </c>
      <c r="M1773" s="91">
        <v>45819</v>
      </c>
      <c r="O1773" s="62">
        <f ca="1" t="shared" si="101"/>
        <v>0</v>
      </c>
      <c r="P1773" s="62">
        <f ca="1" t="shared" si="102"/>
        <v>141</v>
      </c>
      <c r="Q1773" s="29" t="str">
        <f>VLOOKUP(B1773,辅助信息!E:M,9,FALSE)</f>
        <v>ZTWM-CDGS-XS-2024-0030-华西集采-简州大道</v>
      </c>
      <c r="R1773" s="29" t="str">
        <f>_xlfn._xlws.FILTER(辅助信息!D:D,辅助信息!E:E=B1773)</f>
        <v>华西简阳西城嘉苑</v>
      </c>
    </row>
    <row r="1774" hidden="1" spans="2:18">
      <c r="B1774" s="120" t="s">
        <v>161</v>
      </c>
      <c r="C1774" s="70">
        <v>45820</v>
      </c>
      <c r="D1774" s="120" t="str">
        <f>VLOOKUP(B1774,辅助信息!E:K,7,FALSE)</f>
        <v>JWDD2025071500089</v>
      </c>
      <c r="E1774" s="120" t="str">
        <f>VLOOKUP(F1774,辅助信息!A:B,2,FALSE)</f>
        <v>盘螺</v>
      </c>
      <c r="F1774" s="120" t="s">
        <v>41</v>
      </c>
      <c r="G1774" s="121">
        <v>16</v>
      </c>
      <c r="H1774" s="121" t="str">
        <f>_xlfn.XLOOKUP(C1774&amp;F1774&amp;I1774&amp;J1774,'[1]2025年已发货'!$F:$F&amp;'[1]2025年已发货'!$C:$C&amp;'[1]2025年已发货'!$G:$G&amp;'[1]2025年已发货'!$H:$H,'[1]2025年已发货'!$E:$E,"未发货")</f>
        <v>未发货</v>
      </c>
      <c r="I1774" s="120" t="str">
        <f>VLOOKUP(B1774,辅助信息!E:I,3,FALSE)</f>
        <v>(宜宾兴港三江新区长江工业园保障性租赁住房建设项目-1标)四川省宜宾市翠屏区永善路南段宜宾市三江新区长江工业园区</v>
      </c>
      <c r="J1774" s="120" t="str">
        <f>VLOOKUP(B1774,辅助信息!E:I,4,FALSE)</f>
        <v>赵元虎</v>
      </c>
      <c r="K1774" s="120">
        <f>VLOOKUP(J1774,辅助信息!H:I,2,FALSE)</f>
        <v>13684167136</v>
      </c>
      <c r="L1774" s="122" t="str">
        <f>VLOOKUP(B1774,辅助信息!E:J,6,FALSE)</f>
        <v>现场要求调度统一联系指定收货人，不单独发司机位置。锈货不收，装货前联系收货人核实到场规格,没提前告知进场规格现场不给予接收</v>
      </c>
      <c r="M1774" s="91">
        <v>45819</v>
      </c>
      <c r="O1774" s="62">
        <f ca="1" t="shared" si="101"/>
        <v>0</v>
      </c>
      <c r="P1774" s="62">
        <f ca="1" t="shared" si="102"/>
        <v>141</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0" t="s">
        <v>161</v>
      </c>
      <c r="C1775" s="70">
        <v>45820</v>
      </c>
      <c r="D1775" s="120" t="str">
        <f>VLOOKUP(B1775,辅助信息!E:K,7,FALSE)</f>
        <v>JWDD2025071500089</v>
      </c>
      <c r="E1775" s="120" t="str">
        <f>VLOOKUP(F1775,辅助信息!A:B,2,FALSE)</f>
        <v>盘螺</v>
      </c>
      <c r="F1775" s="120" t="s">
        <v>26</v>
      </c>
      <c r="G1775" s="121">
        <v>9</v>
      </c>
      <c r="H1775" s="121" t="str">
        <f>_xlfn.XLOOKUP(C1775&amp;F1775&amp;I1775&amp;J1775,'[1]2025年已发货'!$F:$F&amp;'[1]2025年已发货'!$C:$C&amp;'[1]2025年已发货'!$G:$G&amp;'[1]2025年已发货'!$H:$H,'[1]2025年已发货'!$E:$E,"未发货")</f>
        <v>未发货</v>
      </c>
      <c r="I1775" s="120" t="str">
        <f>VLOOKUP(B1775,辅助信息!E:I,3,FALSE)</f>
        <v>(宜宾兴港三江新区长江工业园保障性租赁住房建设项目-1标)四川省宜宾市翠屏区永善路南段宜宾市三江新区长江工业园区</v>
      </c>
      <c r="J1775" s="120" t="str">
        <f>VLOOKUP(B1775,辅助信息!E:I,4,FALSE)</f>
        <v>赵元虎</v>
      </c>
      <c r="K1775" s="120">
        <f>VLOOKUP(J1775,辅助信息!H:I,2,FALSE)</f>
        <v>13684167136</v>
      </c>
      <c r="L1775" s="122" t="str">
        <f>VLOOKUP(B1775,辅助信息!E:J,6,FALSE)</f>
        <v>现场要求调度统一联系指定收货人，不单独发司机位置。锈货不收，装货前联系收货人核实到场规格,没提前告知进场规格现场不给予接收</v>
      </c>
      <c r="M1775" s="91">
        <v>45819</v>
      </c>
      <c r="O1775" s="62">
        <f ca="1" t="shared" si="101"/>
        <v>0</v>
      </c>
      <c r="P1775" s="62">
        <f ca="1" t="shared" si="102"/>
        <v>141</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0" t="s">
        <v>161</v>
      </c>
      <c r="C1776" s="70">
        <v>45820</v>
      </c>
      <c r="D1776" s="120" t="str">
        <f>VLOOKUP(B1776,辅助信息!E:K,7,FALSE)</f>
        <v>JWDD2025071500089</v>
      </c>
      <c r="E1776" s="120" t="str">
        <f>VLOOKUP(F1776,辅助信息!A:B,2,FALSE)</f>
        <v>螺纹钢</v>
      </c>
      <c r="F1776" s="120" t="s">
        <v>19</v>
      </c>
      <c r="G1776" s="121">
        <v>4</v>
      </c>
      <c r="H1776" s="121" t="str">
        <f>_xlfn.XLOOKUP(C1776&amp;F1776&amp;I1776&amp;J1776,'[1]2025年已发货'!$F:$F&amp;'[1]2025年已发货'!$C:$C&amp;'[1]2025年已发货'!$G:$G&amp;'[1]2025年已发货'!$H:$H,'[1]2025年已发货'!$E:$E,"未发货")</f>
        <v>未发货</v>
      </c>
      <c r="I1776" s="120" t="str">
        <f>VLOOKUP(B1776,辅助信息!E:I,3,FALSE)</f>
        <v>(宜宾兴港三江新区长江工业园保障性租赁住房建设项目-1标)四川省宜宾市翠屏区永善路南段宜宾市三江新区长江工业园区</v>
      </c>
      <c r="J1776" s="120" t="str">
        <f>VLOOKUP(B1776,辅助信息!E:I,4,FALSE)</f>
        <v>赵元虎</v>
      </c>
      <c r="K1776" s="120">
        <f>VLOOKUP(J1776,辅助信息!H:I,2,FALSE)</f>
        <v>13684167136</v>
      </c>
      <c r="L1776" s="122" t="str">
        <f>VLOOKUP(B1776,辅助信息!E:J,6,FALSE)</f>
        <v>现场要求调度统一联系指定收货人，不单独发司机位置。锈货不收，装货前联系收货人核实到场规格,没提前告知进场规格现场不给予接收</v>
      </c>
      <c r="M1776" s="91">
        <v>45819</v>
      </c>
      <c r="O1776" s="62">
        <f ca="1" t="shared" si="101"/>
        <v>0</v>
      </c>
      <c r="P1776" s="62">
        <f ca="1" t="shared" si="102"/>
        <v>141</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0" t="s">
        <v>161</v>
      </c>
      <c r="C1777" s="70">
        <v>45820</v>
      </c>
      <c r="D1777" s="120" t="str">
        <f>VLOOKUP(B1777,辅助信息!E:K,7,FALSE)</f>
        <v>JWDD2025071500089</v>
      </c>
      <c r="E1777" s="120" t="str">
        <f>VLOOKUP(F1777,辅助信息!A:B,2,FALSE)</f>
        <v>螺纹钢</v>
      </c>
      <c r="F1777" s="120" t="s">
        <v>30</v>
      </c>
      <c r="G1777" s="121">
        <v>90</v>
      </c>
      <c r="H1777" s="121" t="str">
        <f>_xlfn.XLOOKUP(C1777&amp;F1777&amp;I1777&amp;J1777,'[1]2025年已发货'!$F:$F&amp;'[1]2025年已发货'!$C:$C&amp;'[1]2025年已发货'!$G:$G&amp;'[1]2025年已发货'!$H:$H,'[1]2025年已发货'!$E:$E,"未发货")</f>
        <v>未发货</v>
      </c>
      <c r="I1777" s="120" t="str">
        <f>VLOOKUP(B1777,辅助信息!E:I,3,FALSE)</f>
        <v>(宜宾兴港三江新区长江工业园保障性租赁住房建设项目-1标)四川省宜宾市翠屏区永善路南段宜宾市三江新区长江工业园区</v>
      </c>
      <c r="J1777" s="120" t="str">
        <f>VLOOKUP(B1777,辅助信息!E:I,4,FALSE)</f>
        <v>赵元虎</v>
      </c>
      <c r="K1777" s="120">
        <f>VLOOKUP(J1777,辅助信息!H:I,2,FALSE)</f>
        <v>13684167136</v>
      </c>
      <c r="L1777" s="122" t="str">
        <f>VLOOKUP(B1777,辅助信息!E:J,6,FALSE)</f>
        <v>现场要求调度统一联系指定收货人，不单独发司机位置。锈货不收，装货前联系收货人核实到场规格,没提前告知进场规格现场不给予接收</v>
      </c>
      <c r="M1777" s="91">
        <v>45819</v>
      </c>
      <c r="O1777" s="62">
        <f ca="1" t="shared" si="101"/>
        <v>0</v>
      </c>
      <c r="P1777" s="62">
        <f ca="1" t="shared" si="102"/>
        <v>141</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0" t="s">
        <v>162</v>
      </c>
      <c r="C1778" s="70">
        <v>45820</v>
      </c>
      <c r="D1778" s="120" t="str">
        <f>VLOOKUP(B1778,辅助信息!E:K,7,FALSE)</f>
        <v>JWDD2025071500089</v>
      </c>
      <c r="E1778" s="120" t="str">
        <f>VLOOKUP(F1778,辅助信息!A:B,2,FALSE)</f>
        <v>盘螺</v>
      </c>
      <c r="F1778" s="120" t="s">
        <v>41</v>
      </c>
      <c r="G1778" s="121">
        <v>30</v>
      </c>
      <c r="H1778" s="121" t="str">
        <f>_xlfn.XLOOKUP(C1778&amp;F1778&amp;I1778&amp;J1778,'[1]2025年已发货'!$F:$F&amp;'[1]2025年已发货'!$C:$C&amp;'[1]2025年已发货'!$G:$G&amp;'[1]2025年已发货'!$H:$H,'[1]2025年已发货'!$E:$E,"未发货")</f>
        <v>未发货</v>
      </c>
      <c r="I1778" s="120" t="str">
        <f>VLOOKUP(B1778,辅助信息!E:I,3,FALSE)</f>
        <v>(宜宾兴港三江新区长江工业园保障性租赁住房建设项目-2标)四川省宜宾市翠屏区永善路南段宜宾市三江新区长江工业园区</v>
      </c>
      <c r="J1778" s="120" t="str">
        <f>VLOOKUP(B1778,辅助信息!E:I,4,FALSE)</f>
        <v>赵元虎</v>
      </c>
      <c r="K1778" s="120">
        <f>VLOOKUP(J1778,辅助信息!H:I,2,FALSE)</f>
        <v>13684167136</v>
      </c>
      <c r="L1778" s="122" t="str">
        <f>VLOOKUP(B1778,辅助信息!E:J,6,FALSE)</f>
        <v>现场要求调度统一联系指定收货人，不单独发司机位置。锈货不收，装货前联系收货人核实到场规格,没提前告知进场规格现场不给予接收</v>
      </c>
      <c r="M1778" s="91">
        <v>45819</v>
      </c>
      <c r="O1778" s="62">
        <f ca="1" t="shared" si="101"/>
        <v>0</v>
      </c>
      <c r="P1778" s="62">
        <f ca="1" t="shared" si="102"/>
        <v>141</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0" t="s">
        <v>162</v>
      </c>
      <c r="C1779" s="70">
        <v>45820</v>
      </c>
      <c r="D1779" s="120" t="str">
        <f>VLOOKUP(B1779,辅助信息!E:K,7,FALSE)</f>
        <v>JWDD2025071500089</v>
      </c>
      <c r="E1779" s="120" t="str">
        <f>VLOOKUP(F1779,辅助信息!A:B,2,FALSE)</f>
        <v>盘螺</v>
      </c>
      <c r="F1779" s="120" t="s">
        <v>26</v>
      </c>
      <c r="G1779" s="121">
        <v>10</v>
      </c>
      <c r="H1779" s="121" t="str">
        <f>_xlfn.XLOOKUP(C1779&amp;F1779&amp;I1779&amp;J1779,'[1]2025年已发货'!$F:$F&amp;'[1]2025年已发货'!$C:$C&amp;'[1]2025年已发货'!$G:$G&amp;'[1]2025年已发货'!$H:$H,'[1]2025年已发货'!$E:$E,"未发货")</f>
        <v>未发货</v>
      </c>
      <c r="I1779" s="120" t="str">
        <f>VLOOKUP(B1779,辅助信息!E:I,3,FALSE)</f>
        <v>(宜宾兴港三江新区长江工业园保障性租赁住房建设项目-2标)四川省宜宾市翠屏区永善路南段宜宾市三江新区长江工业园区</v>
      </c>
      <c r="J1779" s="120" t="str">
        <f>VLOOKUP(B1779,辅助信息!E:I,4,FALSE)</f>
        <v>赵元虎</v>
      </c>
      <c r="K1779" s="120">
        <f>VLOOKUP(J1779,辅助信息!H:I,2,FALSE)</f>
        <v>13684167136</v>
      </c>
      <c r="L1779" s="122" t="str">
        <f>VLOOKUP(B1779,辅助信息!E:J,6,FALSE)</f>
        <v>现场要求调度统一联系指定收货人，不单独发司机位置。锈货不收，装货前联系收货人核实到场规格,没提前告知进场规格现场不给予接收</v>
      </c>
      <c r="M1779" s="91">
        <v>45819</v>
      </c>
      <c r="O1779" s="62">
        <f ca="1" t="shared" si="101"/>
        <v>0</v>
      </c>
      <c r="P1779" s="62">
        <f ca="1" t="shared" si="102"/>
        <v>141</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0" t="s">
        <v>162</v>
      </c>
      <c r="C1780" s="70">
        <v>45820</v>
      </c>
      <c r="D1780" s="120" t="str">
        <f>VLOOKUP(B1780,辅助信息!E:K,7,FALSE)</f>
        <v>JWDD2025071500089</v>
      </c>
      <c r="E1780" s="120" t="str">
        <f>VLOOKUP(F1780,辅助信息!A:B,2,FALSE)</f>
        <v>螺纹钢</v>
      </c>
      <c r="F1780" s="120" t="s">
        <v>30</v>
      </c>
      <c r="G1780" s="121">
        <v>60</v>
      </c>
      <c r="H1780" s="121" t="str">
        <f>_xlfn.XLOOKUP(C1780&amp;F1780&amp;I1780&amp;J1780,'[1]2025年已发货'!$F:$F&amp;'[1]2025年已发货'!$C:$C&amp;'[1]2025年已发货'!$G:$G&amp;'[1]2025年已发货'!$H:$H,'[1]2025年已发货'!$E:$E,"未发货")</f>
        <v>未发货</v>
      </c>
      <c r="I1780" s="120" t="str">
        <f>VLOOKUP(B1780,辅助信息!E:I,3,FALSE)</f>
        <v>(宜宾兴港三江新区长江工业园保障性租赁住房建设项目-2标)四川省宜宾市翠屏区永善路南段宜宾市三江新区长江工业园区</v>
      </c>
      <c r="J1780" s="120" t="str">
        <f>VLOOKUP(B1780,辅助信息!E:I,4,FALSE)</f>
        <v>赵元虎</v>
      </c>
      <c r="K1780" s="120">
        <f>VLOOKUP(J1780,辅助信息!H:I,2,FALSE)</f>
        <v>13684167136</v>
      </c>
      <c r="L1780" s="122" t="str">
        <f>VLOOKUP(B1780,辅助信息!E:J,6,FALSE)</f>
        <v>现场要求调度统一联系指定收货人，不单独发司机位置。锈货不收，装货前联系收货人核实到场规格,没提前告知进场规格现场不给予接收</v>
      </c>
      <c r="M1780" s="91">
        <v>45819</v>
      </c>
      <c r="O1780" s="62">
        <f ca="1" t="shared" si="101"/>
        <v>0</v>
      </c>
      <c r="P1780" s="62">
        <f ca="1" t="shared" si="102"/>
        <v>141</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0">
        <v>45820</v>
      </c>
      <c r="D1781" s="120" t="str">
        <f>VLOOKUP(B1781,辅助信息!E:K,7,FALSE)</f>
        <v>JWDDCD2025050800101</v>
      </c>
      <c r="E1781" s="120" t="str">
        <f>VLOOKUP(F1781,辅助信息!A:B,2,FALSE)</f>
        <v>盘螺</v>
      </c>
      <c r="F1781" s="40" t="s">
        <v>41</v>
      </c>
      <c r="G1781" s="36">
        <v>5</v>
      </c>
      <c r="H1781" s="121">
        <f>_xlfn.XLOOKUP(C1781&amp;F1781&amp;I1781&amp;J1781,'[1]2025年已发货'!$F:$F&amp;'[1]2025年已发货'!$C:$C&amp;'[1]2025年已发货'!$G:$G&amp;'[1]2025年已发货'!$H:$H,'[1]2025年已发货'!$E:$E,"未发货")</f>
        <v>5</v>
      </c>
      <c r="I1781" s="120" t="str">
        <f>VLOOKUP(B1781,辅助信息!E:I,3,FALSE)</f>
        <v>(中铁科研院宜宾泥溪项目)中铁科研院集团有限公司宜宾市泥溪东互通式立交下穿成贵客专铁路工程项目钢筋加工厂</v>
      </c>
      <c r="J1781" s="120" t="str">
        <f>VLOOKUP(B1781,辅助信息!E:I,4,FALSE)</f>
        <v>蔡鹏</v>
      </c>
      <c r="K1781" s="120">
        <f>VLOOKUP(J1781,辅助信息!H:I,2,FALSE)</f>
        <v>19130850820</v>
      </c>
      <c r="L1781" s="122" t="str">
        <f>VLOOKUP(B1781,辅助信息!E:J,6,FALSE)</f>
        <v>装货前联系收货人核实到场规格，货物最下面用方木垫下方便卸货</v>
      </c>
      <c r="M1781" s="91">
        <v>45822</v>
      </c>
      <c r="O1781" s="62">
        <f ca="1" t="shared" si="101"/>
        <v>0</v>
      </c>
      <c r="P1781" s="62">
        <f ca="1" t="shared" si="102"/>
        <v>138</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0">
        <v>45820</v>
      </c>
      <c r="D1782" s="120" t="str">
        <f>VLOOKUP(B1782,辅助信息!E:K,7,FALSE)</f>
        <v>JWDDCD2025050800101</v>
      </c>
      <c r="E1782" s="120" t="str">
        <f>VLOOKUP(F1782,辅助信息!A:B,2,FALSE)</f>
        <v>盘螺</v>
      </c>
      <c r="F1782" s="40" t="s">
        <v>26</v>
      </c>
      <c r="G1782" s="36">
        <v>25</v>
      </c>
      <c r="H1782" s="121">
        <f>_xlfn.XLOOKUP(C1782&amp;F1782&amp;I1782&amp;J1782,'[1]2025年已发货'!$F:$F&amp;'[1]2025年已发货'!$C:$C&amp;'[1]2025年已发货'!$G:$G&amp;'[1]2025年已发货'!$H:$H,'[1]2025年已发货'!$E:$E,"未发货")</f>
        <v>25</v>
      </c>
      <c r="I1782" s="120" t="str">
        <f>VLOOKUP(B1782,辅助信息!E:I,3,FALSE)</f>
        <v>(中铁科研院宜宾泥溪项目)中铁科研院集团有限公司宜宾市泥溪东互通式立交下穿成贵客专铁路工程项目钢筋加工厂</v>
      </c>
      <c r="J1782" s="120" t="str">
        <f>VLOOKUP(B1782,辅助信息!E:I,4,FALSE)</f>
        <v>蔡鹏</v>
      </c>
      <c r="K1782" s="120">
        <f>VLOOKUP(J1782,辅助信息!H:I,2,FALSE)</f>
        <v>19130850820</v>
      </c>
      <c r="L1782" s="122" t="str">
        <f>VLOOKUP(B1782,辅助信息!E:J,6,FALSE)</f>
        <v>装货前联系收货人核实到场规格，货物最下面用方木垫下方便卸货</v>
      </c>
      <c r="M1782" s="91">
        <v>45822</v>
      </c>
      <c r="O1782" s="62">
        <f ca="1" t="shared" si="101"/>
        <v>0</v>
      </c>
      <c r="P1782" s="62">
        <f ca="1" t="shared" si="102"/>
        <v>138</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0">
        <v>45820</v>
      </c>
      <c r="D1783" s="120" t="str">
        <f>VLOOKUP(B1783,辅助信息!E:K,7,FALSE)</f>
        <v>JWDDCD2025050800101</v>
      </c>
      <c r="E1783" s="120" t="str">
        <f>VLOOKUP(F1783,辅助信息!A:B,2,FALSE)</f>
        <v>螺纹钢</v>
      </c>
      <c r="F1783" s="40" t="s">
        <v>65</v>
      </c>
      <c r="G1783" s="36">
        <v>6</v>
      </c>
      <c r="H1783" s="121">
        <f>_xlfn.XLOOKUP(C1783&amp;F1783&amp;I1783&amp;J1783,'[1]2025年已发货'!$F:$F&amp;'[1]2025年已发货'!$C:$C&amp;'[1]2025年已发货'!$G:$G&amp;'[1]2025年已发货'!$H:$H,'[1]2025年已发货'!$E:$E,"未发货")</f>
        <v>6</v>
      </c>
      <c r="I1783" s="120" t="str">
        <f>VLOOKUP(B1783,辅助信息!E:I,3,FALSE)</f>
        <v>(中铁科研院宜宾泥溪项目)中铁科研院集团有限公司宜宾市泥溪东互通式立交下穿成贵客专铁路工程项目钢筋加工厂</v>
      </c>
      <c r="J1783" s="120" t="str">
        <f>VLOOKUP(B1783,辅助信息!E:I,4,FALSE)</f>
        <v>蔡鹏</v>
      </c>
      <c r="K1783" s="120">
        <f>VLOOKUP(J1783,辅助信息!H:I,2,FALSE)</f>
        <v>19130850820</v>
      </c>
      <c r="L1783" s="122" t="str">
        <f>VLOOKUP(B1783,辅助信息!E:J,6,FALSE)</f>
        <v>装货前联系收货人核实到场规格，货物最下面用方木垫下方便卸货</v>
      </c>
      <c r="M1783" s="91">
        <v>45822</v>
      </c>
      <c r="O1783" s="62">
        <f ca="1" t="shared" si="101"/>
        <v>0</v>
      </c>
      <c r="P1783" s="62">
        <f ca="1" t="shared" si="102"/>
        <v>138</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0">
        <v>45820</v>
      </c>
      <c r="D1784" s="120" t="str">
        <f>VLOOKUP(B1784,辅助信息!E:K,7,FALSE)</f>
        <v>JWDDCD2025052800131</v>
      </c>
      <c r="E1784" s="120" t="str">
        <f>VLOOKUP(F1784,辅助信息!A:B,2,FALSE)</f>
        <v>高线</v>
      </c>
      <c r="F1784" s="40" t="s">
        <v>57</v>
      </c>
      <c r="G1784" s="36">
        <v>9</v>
      </c>
      <c r="H1784" s="121" t="str">
        <f>_xlfn.XLOOKUP(C1784&amp;F1784&amp;I1784&amp;J1784,'[1]2025年已发货'!$F:$F&amp;'[1]2025年已发货'!$C:$C&amp;'[1]2025年已发货'!$G:$G&amp;'[1]2025年已发货'!$H:$H,'[1]2025年已发货'!$E:$E,"未发货")</f>
        <v>未发货</v>
      </c>
      <c r="I1784" s="120" t="str">
        <f>VLOOKUP(B1784,辅助信息!E:I,3,FALSE)</f>
        <v>（商投建工达州中医药科技园-4工区-11号楼）达州市通川区达州中医药职业学院犀牛大道北段</v>
      </c>
      <c r="J1784" s="120" t="str">
        <f>VLOOKUP(B1784,辅助信息!E:I,4,FALSE)</f>
        <v>张扬</v>
      </c>
      <c r="K1784" s="120">
        <f>VLOOKUP(J1784,辅助信息!H:I,2,FALSE)</f>
        <v>18381904567</v>
      </c>
      <c r="L1784" s="122" t="str">
        <f>VLOOKUP(B1784,辅助信息!E:J,6,FALSE)</f>
        <v>控制炉批号！多了现场不收！,优先安排达钢,提前联系到场规格及数量</v>
      </c>
      <c r="M1784" s="91">
        <v>45822</v>
      </c>
      <c r="O1784" s="62">
        <f ca="1" t="shared" ref="O1784:O1790" si="103">IF(OR(M1784="",N1784&lt;&gt;""),"",MAX(M1784-TODAY(),0))</f>
        <v>0</v>
      </c>
      <c r="P1784" s="62">
        <f ca="1" t="shared" ref="P1784:P1790" si="104">IF(M1784="","",IF(N1784&lt;&gt;"",MAX(N1784-M1784,0),IF(TODAY()&gt;M1784,TODAY()-M1784,0)))</f>
        <v>138</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0">
        <v>45820</v>
      </c>
      <c r="D1785" s="120" t="str">
        <f>VLOOKUP(B1785,辅助信息!E:K,7,FALSE)</f>
        <v>JWDDCD2025052800131</v>
      </c>
      <c r="E1785" s="120" t="str">
        <f>VLOOKUP(F1785,辅助信息!A:B,2,FALSE)</f>
        <v>螺纹钢</v>
      </c>
      <c r="F1785" s="40" t="s">
        <v>27</v>
      </c>
      <c r="G1785" s="36">
        <v>6</v>
      </c>
      <c r="H1785" s="121">
        <f>_xlfn.XLOOKUP(C1785&amp;F1785&amp;I1785&amp;J1785,'[1]2025年已发货'!$F:$F&amp;'[1]2025年已发货'!$C:$C&amp;'[1]2025年已发货'!$G:$G&amp;'[1]2025年已发货'!$H:$H,'[1]2025年已发货'!$E:$E,"未发货")</f>
        <v>6</v>
      </c>
      <c r="I1785" s="120" t="str">
        <f>VLOOKUP(B1785,辅助信息!E:I,3,FALSE)</f>
        <v>（商投建工达州中医药科技园-4工区-11号楼）达州市通川区达州中医药职业学院犀牛大道北段</v>
      </c>
      <c r="J1785" s="120" t="str">
        <f>VLOOKUP(B1785,辅助信息!E:I,4,FALSE)</f>
        <v>张扬</v>
      </c>
      <c r="K1785" s="120">
        <f>VLOOKUP(J1785,辅助信息!H:I,2,FALSE)</f>
        <v>18381904567</v>
      </c>
      <c r="L1785" s="122" t="str">
        <f>VLOOKUP(B1785,辅助信息!E:J,6,FALSE)</f>
        <v>控制炉批号！多了现场不收！,优先安排达钢,提前联系到场规格及数量</v>
      </c>
      <c r="M1785" s="91">
        <v>45822</v>
      </c>
      <c r="O1785" s="62">
        <f ca="1" t="shared" si="103"/>
        <v>0</v>
      </c>
      <c r="P1785" s="62">
        <f ca="1" t="shared" si="104"/>
        <v>138</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0">
        <v>45820</v>
      </c>
      <c r="D1786" s="120" t="str">
        <f>VLOOKUP(B1786,辅助信息!E:K,7,FALSE)</f>
        <v>JWDDCD2025052800131</v>
      </c>
      <c r="E1786" s="120" t="str">
        <f>VLOOKUP(F1786,辅助信息!A:B,2,FALSE)</f>
        <v>螺纹钢</v>
      </c>
      <c r="F1786" s="40" t="s">
        <v>32</v>
      </c>
      <c r="G1786" s="36">
        <v>12</v>
      </c>
      <c r="H1786" s="121" t="str">
        <f>_xlfn.XLOOKUP(C1786&amp;F1786&amp;I1786&amp;J1786,'[1]2025年已发货'!$F:$F&amp;'[1]2025年已发货'!$C:$C&amp;'[1]2025年已发货'!$G:$G&amp;'[1]2025年已发货'!$H:$H,'[1]2025年已发货'!$E:$E,"未发货")</f>
        <v>未发货</v>
      </c>
      <c r="I1786" s="120" t="str">
        <f>VLOOKUP(B1786,辅助信息!E:I,3,FALSE)</f>
        <v>（商投建工达州中医药科技园-4工区-11号楼）达州市通川区达州中医药职业学院犀牛大道北段</v>
      </c>
      <c r="J1786" s="120" t="str">
        <f>VLOOKUP(B1786,辅助信息!E:I,4,FALSE)</f>
        <v>张扬</v>
      </c>
      <c r="K1786" s="120">
        <f>VLOOKUP(J1786,辅助信息!H:I,2,FALSE)</f>
        <v>18381904567</v>
      </c>
      <c r="L1786" s="122" t="str">
        <f>VLOOKUP(B1786,辅助信息!E:J,6,FALSE)</f>
        <v>控制炉批号！多了现场不收！,优先安排达钢,提前联系到场规格及数量</v>
      </c>
      <c r="M1786" s="91">
        <v>45822</v>
      </c>
      <c r="O1786" s="62">
        <f ca="1" t="shared" si="103"/>
        <v>0</v>
      </c>
      <c r="P1786" s="62">
        <f ca="1" t="shared" si="104"/>
        <v>138</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0">
        <v>45820</v>
      </c>
      <c r="D1787" s="120" t="str">
        <f>VLOOKUP(B1787,辅助信息!E:K,7,FALSE)</f>
        <v>JWDDCD2025052800131</v>
      </c>
      <c r="E1787" s="120" t="str">
        <f>VLOOKUP(F1787,辅助信息!A:B,2,FALSE)</f>
        <v>螺纹钢</v>
      </c>
      <c r="F1787" s="40" t="s">
        <v>30</v>
      </c>
      <c r="G1787" s="36">
        <v>3</v>
      </c>
      <c r="H1787" s="121" t="str">
        <f>_xlfn.XLOOKUP(C1787&amp;F1787&amp;I1787&amp;J1787,'[1]2025年已发货'!$F:$F&amp;'[1]2025年已发货'!$C:$C&amp;'[1]2025年已发货'!$G:$G&amp;'[1]2025年已发货'!$H:$H,'[1]2025年已发货'!$E:$E,"未发货")</f>
        <v>未发货</v>
      </c>
      <c r="I1787" s="120" t="str">
        <f>VLOOKUP(B1787,辅助信息!E:I,3,FALSE)</f>
        <v>（商投建工达州中医药科技园-4工区-11号楼）达州市通川区达州中医药职业学院犀牛大道北段</v>
      </c>
      <c r="J1787" s="120" t="str">
        <f>VLOOKUP(B1787,辅助信息!E:I,4,FALSE)</f>
        <v>张扬</v>
      </c>
      <c r="K1787" s="120">
        <f>VLOOKUP(J1787,辅助信息!H:I,2,FALSE)</f>
        <v>18381904567</v>
      </c>
      <c r="L1787" s="122" t="str">
        <f>VLOOKUP(B1787,辅助信息!E:J,6,FALSE)</f>
        <v>控制炉批号！多了现场不收！,优先安排达钢,提前联系到场规格及数量</v>
      </c>
      <c r="M1787" s="91">
        <v>45822</v>
      </c>
      <c r="O1787" s="62">
        <f ca="1" t="shared" si="103"/>
        <v>0</v>
      </c>
      <c r="P1787" s="62">
        <f ca="1" t="shared" si="104"/>
        <v>138</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0">
        <v>45820</v>
      </c>
      <c r="D1788" s="120" t="str">
        <f>VLOOKUP(B1788,辅助信息!E:K,7,FALSE)</f>
        <v>JWDDCD2025052800131</v>
      </c>
      <c r="E1788" s="120" t="str">
        <f>VLOOKUP(F1788,辅助信息!A:B,2,FALSE)</f>
        <v>螺纹钢</v>
      </c>
      <c r="F1788" s="40" t="s">
        <v>33</v>
      </c>
      <c r="G1788" s="36">
        <v>27</v>
      </c>
      <c r="H1788" s="121">
        <f>_xlfn.XLOOKUP(C1788&amp;F1788&amp;I1788&amp;J1788,'[1]2025年已发货'!$F:$F&amp;'[1]2025年已发货'!$C:$C&amp;'[1]2025年已发货'!$G:$G&amp;'[1]2025年已发货'!$H:$H,'[1]2025年已发货'!$E:$E,"未发货")</f>
        <v>27</v>
      </c>
      <c r="I1788" s="120" t="str">
        <f>VLOOKUP(B1788,辅助信息!E:I,3,FALSE)</f>
        <v>（商投建工达州中医药科技园-4工区-11号楼）达州市通川区达州中医药职业学院犀牛大道北段</v>
      </c>
      <c r="J1788" s="120" t="str">
        <f>VLOOKUP(B1788,辅助信息!E:I,4,FALSE)</f>
        <v>张扬</v>
      </c>
      <c r="K1788" s="120">
        <f>VLOOKUP(J1788,辅助信息!H:I,2,FALSE)</f>
        <v>18381904567</v>
      </c>
      <c r="L1788" s="122" t="str">
        <f>VLOOKUP(B1788,辅助信息!E:J,6,FALSE)</f>
        <v>控制炉批号！多了现场不收！,优先安排达钢,提前联系到场规格及数量</v>
      </c>
      <c r="M1788" s="91">
        <v>45822</v>
      </c>
      <c r="O1788" s="62">
        <f ca="1" t="shared" si="103"/>
        <v>0</v>
      </c>
      <c r="P1788" s="62">
        <f ca="1" t="shared" si="104"/>
        <v>138</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0">
        <v>45820</v>
      </c>
      <c r="D1789" s="120" t="str">
        <f>VLOOKUP(B1789,辅助信息!E:K,7,FALSE)</f>
        <v>JWDDCD2025052800131</v>
      </c>
      <c r="E1789" s="120" t="str">
        <f>VLOOKUP(F1789,辅助信息!A:B,2,FALSE)</f>
        <v>螺纹钢</v>
      </c>
      <c r="F1789" s="40" t="s">
        <v>28</v>
      </c>
      <c r="G1789" s="36">
        <v>30</v>
      </c>
      <c r="H1789" s="121">
        <f>_xlfn.XLOOKUP(C1789&amp;F1789&amp;I1789&amp;J1789,'[1]2025年已发货'!$F:$F&amp;'[1]2025年已发货'!$C:$C&amp;'[1]2025年已发货'!$G:$G&amp;'[1]2025年已发货'!$H:$H,'[1]2025年已发货'!$E:$E,"未发货")</f>
        <v>27</v>
      </c>
      <c r="I1789" s="120" t="str">
        <f>VLOOKUP(B1789,辅助信息!E:I,3,FALSE)</f>
        <v>（商投建工达州中医药科技园-4工区-11号楼）达州市通川区达州中医药职业学院犀牛大道北段</v>
      </c>
      <c r="J1789" s="120" t="str">
        <f>VLOOKUP(B1789,辅助信息!E:I,4,FALSE)</f>
        <v>张扬</v>
      </c>
      <c r="K1789" s="120">
        <f>VLOOKUP(J1789,辅助信息!H:I,2,FALSE)</f>
        <v>18381904567</v>
      </c>
      <c r="L1789" s="122" t="str">
        <f>VLOOKUP(B1789,辅助信息!E:J,6,FALSE)</f>
        <v>控制炉批号！多了现场不收！,优先安排达钢,提前联系到场规格及数量</v>
      </c>
      <c r="M1789" s="91">
        <v>45822</v>
      </c>
      <c r="O1789" s="62">
        <f ca="1" t="shared" si="103"/>
        <v>0</v>
      </c>
      <c r="P1789" s="62">
        <f ca="1" t="shared" si="104"/>
        <v>138</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0">
        <v>45820</v>
      </c>
      <c r="D1790" s="120" t="str">
        <f>VLOOKUP(B1790,辅助信息!E:K,7,FALSE)</f>
        <v>JWDDCD2025052800131</v>
      </c>
      <c r="E1790" s="120" t="str">
        <f>VLOOKUP(F1790,辅助信息!A:B,2,FALSE)</f>
        <v>螺纹钢</v>
      </c>
      <c r="F1790" s="40" t="s">
        <v>18</v>
      </c>
      <c r="G1790" s="36">
        <v>15</v>
      </c>
      <c r="H1790" s="121" t="str">
        <f>_xlfn.XLOOKUP(C1790&amp;F1790&amp;I1790&amp;J1790,'[1]2025年已发货'!$F:$F&amp;'[1]2025年已发货'!$C:$C&amp;'[1]2025年已发货'!$G:$G&amp;'[1]2025年已发货'!$H:$H,'[1]2025年已发货'!$E:$E,"未发货")</f>
        <v>未发货</v>
      </c>
      <c r="I1790" s="120" t="str">
        <f>VLOOKUP(B1790,辅助信息!E:I,3,FALSE)</f>
        <v>（商投建工达州中医药科技园-4工区-11号楼）达州市通川区达州中医药职业学院犀牛大道北段</v>
      </c>
      <c r="J1790" s="120" t="str">
        <f>VLOOKUP(B1790,辅助信息!E:I,4,FALSE)</f>
        <v>张扬</v>
      </c>
      <c r="K1790" s="120">
        <f>VLOOKUP(J1790,辅助信息!H:I,2,FALSE)</f>
        <v>18381904567</v>
      </c>
      <c r="L1790" s="122" t="str">
        <f>VLOOKUP(B1790,辅助信息!E:J,6,FALSE)</f>
        <v>控制炉批号！多了现场不收！,优先安排达钢,提前联系到场规格及数量</v>
      </c>
      <c r="M1790" s="91">
        <v>45822</v>
      </c>
      <c r="O1790" s="62">
        <f ca="1" t="shared" si="103"/>
        <v>0</v>
      </c>
      <c r="P1790" s="62">
        <f ca="1" t="shared" si="104"/>
        <v>138</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0">
        <v>45820</v>
      </c>
      <c r="D1791" s="120" t="str">
        <f>VLOOKUP(B1791,辅助信息!E:K,7,FALSE)</f>
        <v>JWDDCD2025052800131</v>
      </c>
      <c r="E1791" s="120" t="str">
        <f>VLOOKUP(F1791,辅助信息!A:B,2,FALSE)</f>
        <v>盘螺</v>
      </c>
      <c r="F1791" s="40" t="s">
        <v>40</v>
      </c>
      <c r="G1791" s="36">
        <v>18</v>
      </c>
      <c r="H1791" s="121" t="str">
        <f>_xlfn.XLOOKUP(C1791&amp;F1791&amp;I1791&amp;J1791,'[1]2025年已发货'!$F:$F&amp;'[1]2025年已发货'!$C:$C&amp;'[1]2025年已发货'!$G:$G&amp;'[1]2025年已发货'!$H:$H,'[1]2025年已发货'!$E:$E,"未发货")</f>
        <v>未发货</v>
      </c>
      <c r="I1791" s="120" t="str">
        <f>VLOOKUP(B1791,辅助信息!E:I,3,FALSE)</f>
        <v>（商投建工达州中医药科技园-4工区-9号楼）达州市通川区达州中医药职业学院犀牛大道北段</v>
      </c>
      <c r="J1791" s="120" t="str">
        <f>VLOOKUP(B1791,辅助信息!E:I,4,FALSE)</f>
        <v>张扬</v>
      </c>
      <c r="K1791" s="120">
        <f>VLOOKUP(J1791,辅助信息!H:I,2,FALSE)</f>
        <v>18381904567</v>
      </c>
      <c r="L1791" s="122" t="str">
        <f>VLOOKUP(B1791,辅助信息!E:J,6,FALSE)</f>
        <v>控制炉批号！多了现场不收！,优先安排达钢,提前联系到场规格及数量</v>
      </c>
      <c r="M1791" s="91">
        <v>45822</v>
      </c>
      <c r="O1791" s="62">
        <f ca="1" t="shared" ref="O1791:O1798" si="105">IF(OR(M1791="",N1791&lt;&gt;""),"",MAX(M1791-TODAY(),0))</f>
        <v>0</v>
      </c>
      <c r="P1791" s="62">
        <f ca="1" t="shared" ref="P1791:P1798" si="106">IF(M1791="","",IF(N1791&lt;&gt;"",MAX(N1791-M1791,0),IF(TODAY()&gt;M1791,TODAY()-M1791,0)))</f>
        <v>138</v>
      </c>
      <c r="Q1791" s="29" t="str">
        <f>VLOOKUP(B1791,辅助信息!E:M,9,FALSE)</f>
        <v>ZTWM-CDGS-XS-2024-0134-商投建工达州中医药科技成果示范园项目</v>
      </c>
    </row>
    <row r="1792" hidden="1" spans="2:17">
      <c r="B1792" s="40" t="s">
        <v>163</v>
      </c>
      <c r="C1792" s="70">
        <v>45820</v>
      </c>
      <c r="D1792" s="120" t="str">
        <f>VLOOKUP(B1792,辅助信息!E:K,7,FALSE)</f>
        <v>JWDDCD2025052800131</v>
      </c>
      <c r="E1792" s="120" t="str">
        <f>VLOOKUP(F1792,辅助信息!A:B,2,FALSE)</f>
        <v>盘螺</v>
      </c>
      <c r="F1792" s="40" t="s">
        <v>41</v>
      </c>
      <c r="G1792" s="36">
        <v>12</v>
      </c>
      <c r="H1792" s="121">
        <f>_xlfn.XLOOKUP(C1792&amp;F1792&amp;I1792&amp;J1792,'[1]2025年已发货'!$F:$F&amp;'[1]2025年已发货'!$C:$C&amp;'[1]2025年已发货'!$G:$G&amp;'[1]2025年已发货'!$H:$H,'[1]2025年已发货'!$E:$E,"未发货")</f>
        <v>12</v>
      </c>
      <c r="I1792" s="120" t="str">
        <f>VLOOKUP(B1792,辅助信息!E:I,3,FALSE)</f>
        <v>（商投建工达州中医药科技园-4工区-9号楼）达州市通川区达州中医药职业学院犀牛大道北段</v>
      </c>
      <c r="J1792" s="120" t="str">
        <f>VLOOKUP(B1792,辅助信息!E:I,4,FALSE)</f>
        <v>张扬</v>
      </c>
      <c r="K1792" s="120">
        <f>VLOOKUP(J1792,辅助信息!H:I,2,FALSE)</f>
        <v>18381904567</v>
      </c>
      <c r="L1792" s="122" t="str">
        <f>VLOOKUP(B1792,辅助信息!E:J,6,FALSE)</f>
        <v>控制炉批号！多了现场不收！,优先安排达钢,提前联系到场规格及数量</v>
      </c>
      <c r="M1792" s="91">
        <v>45822</v>
      </c>
      <c r="O1792" s="62">
        <f ca="1" t="shared" si="105"/>
        <v>0</v>
      </c>
      <c r="P1792" s="62">
        <f ca="1" t="shared" si="106"/>
        <v>138</v>
      </c>
      <c r="Q1792" s="29" t="str">
        <f>VLOOKUP(B1792,辅助信息!E:M,9,FALSE)</f>
        <v>ZTWM-CDGS-XS-2024-0134-商投建工达州中医药科技成果示范园项目</v>
      </c>
    </row>
    <row r="1793" hidden="1" spans="2:17">
      <c r="B1793" s="40" t="s">
        <v>163</v>
      </c>
      <c r="C1793" s="70">
        <v>45820</v>
      </c>
      <c r="D1793" s="120" t="str">
        <f>VLOOKUP(B1793,辅助信息!E:K,7,FALSE)</f>
        <v>JWDDCD2025052800131</v>
      </c>
      <c r="E1793" s="120" t="str">
        <f>VLOOKUP(F1793,辅助信息!A:B,2,FALSE)</f>
        <v>螺纹钢</v>
      </c>
      <c r="F1793" s="40" t="s">
        <v>27</v>
      </c>
      <c r="G1793" s="36">
        <v>6</v>
      </c>
      <c r="H1793" s="121">
        <f>_xlfn.XLOOKUP(C1793&amp;F1793&amp;I1793&amp;J1793,'[1]2025年已发货'!$F:$F&amp;'[1]2025年已发货'!$C:$C&amp;'[1]2025年已发货'!$G:$G&amp;'[1]2025年已发货'!$H:$H,'[1]2025年已发货'!$E:$E,"未发货")</f>
        <v>6</v>
      </c>
      <c r="I1793" s="120" t="str">
        <f>VLOOKUP(B1793,辅助信息!E:I,3,FALSE)</f>
        <v>（商投建工达州中医药科技园-4工区-9号楼）达州市通川区达州中医药职业学院犀牛大道北段</v>
      </c>
      <c r="J1793" s="120" t="str">
        <f>VLOOKUP(B1793,辅助信息!E:I,4,FALSE)</f>
        <v>张扬</v>
      </c>
      <c r="K1793" s="120">
        <f>VLOOKUP(J1793,辅助信息!H:I,2,FALSE)</f>
        <v>18381904567</v>
      </c>
      <c r="L1793" s="122" t="str">
        <f>VLOOKUP(B1793,辅助信息!E:J,6,FALSE)</f>
        <v>控制炉批号！多了现场不收！,优先安排达钢,提前联系到场规格及数量</v>
      </c>
      <c r="M1793" s="91">
        <v>45822</v>
      </c>
      <c r="O1793" s="62">
        <f ca="1" t="shared" si="105"/>
        <v>0</v>
      </c>
      <c r="P1793" s="62">
        <f ca="1" t="shared" si="106"/>
        <v>138</v>
      </c>
      <c r="Q1793" s="29" t="str">
        <f>VLOOKUP(B1793,辅助信息!E:M,9,FALSE)</f>
        <v>ZTWM-CDGS-XS-2024-0134-商投建工达州中医药科技成果示范园项目</v>
      </c>
    </row>
    <row r="1794" hidden="1" spans="2:17">
      <c r="B1794" s="40" t="s">
        <v>163</v>
      </c>
      <c r="C1794" s="70">
        <v>45820</v>
      </c>
      <c r="D1794" s="120" t="str">
        <f>VLOOKUP(B1794,辅助信息!E:K,7,FALSE)</f>
        <v>JWDDCD2025052800131</v>
      </c>
      <c r="E1794" s="120" t="str">
        <f>VLOOKUP(F1794,辅助信息!A:B,2,FALSE)</f>
        <v>螺纹钢</v>
      </c>
      <c r="F1794" s="40" t="s">
        <v>32</v>
      </c>
      <c r="G1794" s="36">
        <v>6</v>
      </c>
      <c r="H1794" s="121" t="str">
        <f>_xlfn.XLOOKUP(C1794&amp;F1794&amp;I1794&amp;J1794,'[1]2025年已发货'!$F:$F&amp;'[1]2025年已发货'!$C:$C&amp;'[1]2025年已发货'!$G:$G&amp;'[1]2025年已发货'!$H:$H,'[1]2025年已发货'!$E:$E,"未发货")</f>
        <v>未发货</v>
      </c>
      <c r="I1794" s="120" t="str">
        <f>VLOOKUP(B1794,辅助信息!E:I,3,FALSE)</f>
        <v>（商投建工达州中医药科技园-4工区-9号楼）达州市通川区达州中医药职业学院犀牛大道北段</v>
      </c>
      <c r="J1794" s="120" t="str">
        <f>VLOOKUP(B1794,辅助信息!E:I,4,FALSE)</f>
        <v>张扬</v>
      </c>
      <c r="K1794" s="120">
        <f>VLOOKUP(J1794,辅助信息!H:I,2,FALSE)</f>
        <v>18381904567</v>
      </c>
      <c r="L1794" s="122" t="str">
        <f>VLOOKUP(B1794,辅助信息!E:J,6,FALSE)</f>
        <v>控制炉批号！多了现场不收！,优先安排达钢,提前联系到场规格及数量</v>
      </c>
      <c r="M1794" s="91">
        <v>45822</v>
      </c>
      <c r="O1794" s="62">
        <f ca="1" t="shared" si="105"/>
        <v>0</v>
      </c>
      <c r="P1794" s="62">
        <f ca="1" t="shared" si="106"/>
        <v>138</v>
      </c>
      <c r="Q1794" s="29" t="str">
        <f>VLOOKUP(B1794,辅助信息!E:M,9,FALSE)</f>
        <v>ZTWM-CDGS-XS-2024-0134-商投建工达州中医药科技成果示范园项目</v>
      </c>
    </row>
    <row r="1795" hidden="1" spans="2:17">
      <c r="B1795" s="40" t="s">
        <v>163</v>
      </c>
      <c r="C1795" s="70">
        <v>45820</v>
      </c>
      <c r="D1795" s="120" t="str">
        <f>VLOOKUP(B1795,辅助信息!E:K,7,FALSE)</f>
        <v>JWDDCD2025052800131</v>
      </c>
      <c r="E1795" s="120" t="str">
        <f>VLOOKUP(F1795,辅助信息!A:B,2,FALSE)</f>
        <v>螺纹钢</v>
      </c>
      <c r="F1795" s="40" t="s">
        <v>30</v>
      </c>
      <c r="G1795" s="36">
        <v>6</v>
      </c>
      <c r="H1795" s="121" t="str">
        <f>_xlfn.XLOOKUP(C1795&amp;F1795&amp;I1795&amp;J1795,'[1]2025年已发货'!$F:$F&amp;'[1]2025年已发货'!$C:$C&amp;'[1]2025年已发货'!$G:$G&amp;'[1]2025年已发货'!$H:$H,'[1]2025年已发货'!$E:$E,"未发货")</f>
        <v>未发货</v>
      </c>
      <c r="I1795" s="120" t="str">
        <f>VLOOKUP(B1795,辅助信息!E:I,3,FALSE)</f>
        <v>（商投建工达州中医药科技园-4工区-9号楼）达州市通川区达州中医药职业学院犀牛大道北段</v>
      </c>
      <c r="J1795" s="120" t="str">
        <f>VLOOKUP(B1795,辅助信息!E:I,4,FALSE)</f>
        <v>张扬</v>
      </c>
      <c r="K1795" s="120">
        <f>VLOOKUP(J1795,辅助信息!H:I,2,FALSE)</f>
        <v>18381904567</v>
      </c>
      <c r="L1795" s="122" t="str">
        <f>VLOOKUP(B1795,辅助信息!E:J,6,FALSE)</f>
        <v>控制炉批号！多了现场不收！,优先安排达钢,提前联系到场规格及数量</v>
      </c>
      <c r="M1795" s="91">
        <v>45822</v>
      </c>
      <c r="O1795" s="62">
        <f ca="1" t="shared" si="105"/>
        <v>0</v>
      </c>
      <c r="P1795" s="62">
        <f ca="1" t="shared" si="106"/>
        <v>138</v>
      </c>
      <c r="Q1795" s="29" t="str">
        <f>VLOOKUP(B1795,辅助信息!E:M,9,FALSE)</f>
        <v>ZTWM-CDGS-XS-2024-0134-商投建工达州中医药科技成果示范园项目</v>
      </c>
    </row>
    <row r="1796" hidden="1" spans="2:17">
      <c r="B1796" s="40" t="s">
        <v>163</v>
      </c>
      <c r="C1796" s="70">
        <v>45820</v>
      </c>
      <c r="D1796" s="120" t="str">
        <f>VLOOKUP(B1796,辅助信息!E:K,7,FALSE)</f>
        <v>JWDDCD2025052800131</v>
      </c>
      <c r="E1796" s="120" t="str">
        <f>VLOOKUP(F1796,辅助信息!A:B,2,FALSE)</f>
        <v>螺纹钢</v>
      </c>
      <c r="F1796" s="40" t="s">
        <v>33</v>
      </c>
      <c r="G1796" s="36">
        <v>39</v>
      </c>
      <c r="H1796" s="121">
        <f>_xlfn.XLOOKUP(C1796&amp;F1796&amp;I1796&amp;J1796,'[1]2025年已发货'!$F:$F&amp;'[1]2025年已发货'!$C:$C&amp;'[1]2025年已发货'!$G:$G&amp;'[1]2025年已发货'!$H:$H,'[1]2025年已发货'!$E:$E,"未发货")</f>
        <v>39</v>
      </c>
      <c r="I1796" s="120" t="str">
        <f>VLOOKUP(B1796,辅助信息!E:I,3,FALSE)</f>
        <v>（商投建工达州中医药科技园-4工区-9号楼）达州市通川区达州中医药职业学院犀牛大道北段</v>
      </c>
      <c r="J1796" s="120" t="str">
        <f>VLOOKUP(B1796,辅助信息!E:I,4,FALSE)</f>
        <v>张扬</v>
      </c>
      <c r="K1796" s="120">
        <f>VLOOKUP(J1796,辅助信息!H:I,2,FALSE)</f>
        <v>18381904567</v>
      </c>
      <c r="L1796" s="122" t="str">
        <f>VLOOKUP(B1796,辅助信息!E:J,6,FALSE)</f>
        <v>控制炉批号！多了现场不收！,优先安排达钢,提前联系到场规格及数量</v>
      </c>
      <c r="M1796" s="91">
        <v>45822</v>
      </c>
      <c r="O1796" s="62">
        <f ca="1" t="shared" si="105"/>
        <v>0</v>
      </c>
      <c r="P1796" s="62">
        <f ca="1" t="shared" si="106"/>
        <v>138</v>
      </c>
      <c r="Q1796" s="29" t="str">
        <f>VLOOKUP(B1796,辅助信息!E:M,9,FALSE)</f>
        <v>ZTWM-CDGS-XS-2024-0134-商投建工达州中医药科技成果示范园项目</v>
      </c>
    </row>
    <row r="1797" hidden="1" spans="2:17">
      <c r="B1797" s="40" t="s">
        <v>163</v>
      </c>
      <c r="C1797" s="70">
        <v>45820</v>
      </c>
      <c r="D1797" s="120" t="str">
        <f>VLOOKUP(B1797,辅助信息!E:K,7,FALSE)</f>
        <v>JWDDCD2025052800131</v>
      </c>
      <c r="E1797" s="120" t="str">
        <f>VLOOKUP(F1797,辅助信息!A:B,2,FALSE)</f>
        <v>螺纹钢</v>
      </c>
      <c r="F1797" s="40" t="s">
        <v>28</v>
      </c>
      <c r="G1797" s="36">
        <v>24</v>
      </c>
      <c r="H1797" s="121">
        <f>_xlfn.XLOOKUP(C1797&amp;F1797&amp;I1797&amp;J1797,'[1]2025年已发货'!$F:$F&amp;'[1]2025年已发货'!$C:$C&amp;'[1]2025年已发货'!$G:$G&amp;'[1]2025年已发货'!$H:$H,'[1]2025年已发货'!$E:$E,"未发货")</f>
        <v>24</v>
      </c>
      <c r="I1797" s="120" t="str">
        <f>VLOOKUP(B1797,辅助信息!E:I,3,FALSE)</f>
        <v>（商投建工达州中医药科技园-4工区-9号楼）达州市通川区达州中医药职业学院犀牛大道北段</v>
      </c>
      <c r="J1797" s="120" t="str">
        <f>VLOOKUP(B1797,辅助信息!E:I,4,FALSE)</f>
        <v>张扬</v>
      </c>
      <c r="K1797" s="120">
        <f>VLOOKUP(J1797,辅助信息!H:I,2,FALSE)</f>
        <v>18381904567</v>
      </c>
      <c r="L1797" s="122" t="str">
        <f>VLOOKUP(B1797,辅助信息!E:J,6,FALSE)</f>
        <v>控制炉批号！多了现场不收！,优先安排达钢,提前联系到场规格及数量</v>
      </c>
      <c r="M1797" s="91">
        <v>45822</v>
      </c>
      <c r="O1797" s="62">
        <f ca="1" t="shared" si="105"/>
        <v>0</v>
      </c>
      <c r="P1797" s="62">
        <f ca="1" t="shared" si="106"/>
        <v>138</v>
      </c>
      <c r="Q1797" s="29" t="str">
        <f>VLOOKUP(B1797,辅助信息!E:M,9,FALSE)</f>
        <v>ZTWM-CDGS-XS-2024-0134-商投建工达州中医药科技成果示范园项目</v>
      </c>
    </row>
    <row r="1798" hidden="1" spans="2:17">
      <c r="B1798" s="40" t="s">
        <v>163</v>
      </c>
      <c r="C1798" s="70">
        <v>45820</v>
      </c>
      <c r="D1798" s="120" t="str">
        <f>VLOOKUP(B1798,辅助信息!E:K,7,FALSE)</f>
        <v>JWDDCD2025052800131</v>
      </c>
      <c r="E1798" s="120" t="str">
        <f>VLOOKUP(F1798,辅助信息!A:B,2,FALSE)</f>
        <v>螺纹钢</v>
      </c>
      <c r="F1798" s="40" t="s">
        <v>18</v>
      </c>
      <c r="G1798" s="36">
        <v>21</v>
      </c>
      <c r="H1798" s="121">
        <f>_xlfn.XLOOKUP(C1798&amp;F1798&amp;I1798&amp;J1798,'[1]2025年已发货'!$F:$F&amp;'[1]2025年已发货'!$C:$C&amp;'[1]2025年已发货'!$G:$G&amp;'[1]2025年已发货'!$H:$H,'[1]2025年已发货'!$E:$E,"未发货")</f>
        <v>21</v>
      </c>
      <c r="I1798" s="120" t="str">
        <f>VLOOKUP(B1798,辅助信息!E:I,3,FALSE)</f>
        <v>（商投建工达州中医药科技园-4工区-9号楼）达州市通川区达州中医药职业学院犀牛大道北段</v>
      </c>
      <c r="J1798" s="120" t="str">
        <f>VLOOKUP(B1798,辅助信息!E:I,4,FALSE)</f>
        <v>张扬</v>
      </c>
      <c r="K1798" s="120">
        <f>VLOOKUP(J1798,辅助信息!H:I,2,FALSE)</f>
        <v>18381904567</v>
      </c>
      <c r="L1798" s="122" t="str">
        <f>VLOOKUP(B1798,辅助信息!E:J,6,FALSE)</f>
        <v>控制炉批号！多了现场不收！,优先安排达钢,提前联系到场规格及数量</v>
      </c>
      <c r="M1798" s="91">
        <v>45822</v>
      </c>
      <c r="O1798" s="62">
        <f ca="1" t="shared" si="105"/>
        <v>0</v>
      </c>
      <c r="P1798" s="62">
        <f ca="1" t="shared" si="106"/>
        <v>138</v>
      </c>
      <c r="Q1798" s="29" t="str">
        <f>VLOOKUP(B1798,辅助信息!E:M,9,FALSE)</f>
        <v>ZTWM-CDGS-XS-2024-0134-商投建工达州中医药科技成果示范园项目</v>
      </c>
    </row>
    <row r="1799" hidden="1" spans="1:17">
      <c r="A1799" s="82" t="s">
        <v>164</v>
      </c>
      <c r="B1799" s="40" t="s">
        <v>81</v>
      </c>
      <c r="C1799" s="70">
        <v>45820</v>
      </c>
      <c r="D1799" s="120" t="str">
        <f>VLOOKUP(B1799,辅助信息!E:K,7,FALSE)</f>
        <v>JWDDCD2025060900080</v>
      </c>
      <c r="E1799" s="120" t="str">
        <f>VLOOKUP(F1799,辅助信息!A:B,2,FALSE)</f>
        <v>盘螺</v>
      </c>
      <c r="F1799" s="40" t="s">
        <v>40</v>
      </c>
      <c r="G1799" s="36">
        <v>19</v>
      </c>
      <c r="H1799" s="121"/>
      <c r="I1799" s="120" t="str">
        <f>VLOOKUP(B1799,辅助信息!E:I,3,FALSE)</f>
        <v>（华西简阳西城嘉苑）四川省成都市简阳市简城街道高屋村</v>
      </c>
      <c r="J1799" s="120" t="str">
        <f>VLOOKUP(B1799,辅助信息!E:I,4,FALSE)</f>
        <v>张瀚镭</v>
      </c>
      <c r="K1799" s="120">
        <f>VLOOKUP(J1799,辅助信息!H:I,2,FALSE)</f>
        <v>15884666220</v>
      </c>
      <c r="L1799" s="122" t="str">
        <f>VLOOKUP(B1799,辅助信息!E:J,6,FALSE)</f>
        <v>现场禁止使用氢能源挂车！优先威钢发货,我方卸车,新老国标钢厂不加价可直发，因陕钢多次出现磅差，项目拒绝使用</v>
      </c>
      <c r="M1799" s="91">
        <v>45822</v>
      </c>
      <c r="O1799" s="62">
        <f ca="1" t="shared" ref="O1799:O1811" si="107">IF(OR(M1799="",N1799&lt;&gt;""),"",MAX(M1799-TODAY(),0))</f>
        <v>0</v>
      </c>
      <c r="P1799" s="62">
        <f ca="1" t="shared" ref="P1799:P1811" si="108">IF(M1799="","",IF(N1799&lt;&gt;"",MAX(N1799-M1799,0),IF(TODAY()&gt;M1799,TODAY()-M1799,0)))</f>
        <v>138</v>
      </c>
      <c r="Q1799" s="29" t="str">
        <f>VLOOKUP(B1799,辅助信息!E:M,9,FALSE)</f>
        <v>ZTWM-CDGS-XS-2024-0030-华西集采-简州大道</v>
      </c>
    </row>
    <row r="1800" hidden="1" spans="1:17">
      <c r="A1800" s="82"/>
      <c r="B1800" s="40" t="s">
        <v>81</v>
      </c>
      <c r="C1800" s="70">
        <v>45820</v>
      </c>
      <c r="D1800" s="120" t="str">
        <f>VLOOKUP(B1800,辅助信息!E:K,7,FALSE)</f>
        <v>JWDDCD2025060900080</v>
      </c>
      <c r="E1800" s="120" t="str">
        <f>VLOOKUP(F1800,辅助信息!A:B,2,FALSE)</f>
        <v>盘螺</v>
      </c>
      <c r="F1800" s="40" t="s">
        <v>41</v>
      </c>
      <c r="G1800" s="36">
        <v>185</v>
      </c>
      <c r="H1800" s="121"/>
      <c r="I1800" s="120" t="str">
        <f>VLOOKUP(B1800,辅助信息!E:I,3,FALSE)</f>
        <v>（华西简阳西城嘉苑）四川省成都市简阳市简城街道高屋村</v>
      </c>
      <c r="J1800" s="120" t="str">
        <f>VLOOKUP(B1800,辅助信息!E:I,4,FALSE)</f>
        <v>张瀚镭</v>
      </c>
      <c r="K1800" s="120">
        <f>VLOOKUP(J1800,辅助信息!H:I,2,FALSE)</f>
        <v>15884666220</v>
      </c>
      <c r="L1800" s="122" t="str">
        <f>VLOOKUP(B1800,辅助信息!E:J,6,FALSE)</f>
        <v>现场禁止使用氢能源挂车！优先威钢发货,我方卸车,新老国标钢厂不加价可直发，因陕钢多次出现磅差，项目拒绝使用</v>
      </c>
      <c r="M1800" s="91">
        <v>45822</v>
      </c>
      <c r="O1800" s="62">
        <f ca="1" t="shared" si="107"/>
        <v>0</v>
      </c>
      <c r="P1800" s="62">
        <f ca="1" t="shared" si="108"/>
        <v>138</v>
      </c>
      <c r="Q1800" s="29" t="str">
        <f>VLOOKUP(B1800,辅助信息!E:M,9,FALSE)</f>
        <v>ZTWM-CDGS-XS-2024-0030-华西集采-简州大道</v>
      </c>
    </row>
    <row r="1801" hidden="1" spans="1:17">
      <c r="A1801" s="82"/>
      <c r="B1801" s="40" t="s">
        <v>81</v>
      </c>
      <c r="C1801" s="70">
        <v>45820</v>
      </c>
      <c r="D1801" s="120" t="str">
        <f>VLOOKUP(B1801,辅助信息!E:K,7,FALSE)</f>
        <v>JWDDCD2025060900080</v>
      </c>
      <c r="E1801" s="120" t="str">
        <f>VLOOKUP(F1801,辅助信息!A:B,2,FALSE)</f>
        <v>盘螺</v>
      </c>
      <c r="F1801" s="40" t="s">
        <v>26</v>
      </c>
      <c r="G1801" s="36">
        <v>53</v>
      </c>
      <c r="H1801" s="121">
        <v>36</v>
      </c>
      <c r="I1801" s="120" t="str">
        <f>VLOOKUP(B1801,辅助信息!E:I,3,FALSE)</f>
        <v>（华西简阳西城嘉苑）四川省成都市简阳市简城街道高屋村</v>
      </c>
      <c r="J1801" s="120" t="str">
        <f>VLOOKUP(B1801,辅助信息!E:I,4,FALSE)</f>
        <v>张瀚镭</v>
      </c>
      <c r="K1801" s="120">
        <f>VLOOKUP(J1801,辅助信息!H:I,2,FALSE)</f>
        <v>15884666220</v>
      </c>
      <c r="L1801" s="122" t="str">
        <f>VLOOKUP(B1801,辅助信息!E:J,6,FALSE)</f>
        <v>现场禁止使用氢能源挂车！优先威钢发货,我方卸车,新老国标钢厂不加价可直发，因陕钢多次出现磅差，项目拒绝使用</v>
      </c>
      <c r="M1801" s="91">
        <v>45822</v>
      </c>
      <c r="O1801" s="62">
        <f ca="1" t="shared" si="107"/>
        <v>0</v>
      </c>
      <c r="P1801" s="62">
        <f ca="1" t="shared" si="108"/>
        <v>138</v>
      </c>
      <c r="Q1801" s="29" t="str">
        <f>VLOOKUP(B1801,辅助信息!E:M,9,FALSE)</f>
        <v>ZTWM-CDGS-XS-2024-0030-华西集采-简州大道</v>
      </c>
    </row>
    <row r="1802" hidden="1" spans="2:17">
      <c r="B1802" s="40" t="s">
        <v>81</v>
      </c>
      <c r="C1802" s="70">
        <v>45820</v>
      </c>
      <c r="D1802" s="120" t="str">
        <f>VLOOKUP(B1802,辅助信息!E:K,7,FALSE)</f>
        <v>JWDDCD2025060900080</v>
      </c>
      <c r="E1802" s="120" t="str">
        <f>VLOOKUP(F1802,辅助信息!A:B,2,FALSE)</f>
        <v>螺纹钢</v>
      </c>
      <c r="F1802" s="40" t="s">
        <v>19</v>
      </c>
      <c r="G1802" s="36">
        <v>8</v>
      </c>
      <c r="H1802" s="121">
        <v>8</v>
      </c>
      <c r="I1802" s="120" t="str">
        <f>VLOOKUP(B1802,辅助信息!E:I,3,FALSE)</f>
        <v>（华西简阳西城嘉苑）四川省成都市简阳市简城街道高屋村</v>
      </c>
      <c r="J1802" s="120" t="str">
        <f>VLOOKUP(B1802,辅助信息!E:I,4,FALSE)</f>
        <v>张瀚镭</v>
      </c>
      <c r="K1802" s="120">
        <f>VLOOKUP(J1802,辅助信息!H:I,2,FALSE)</f>
        <v>15884666220</v>
      </c>
      <c r="L1802" s="122" t="str">
        <f>VLOOKUP(B1802,辅助信息!E:J,6,FALSE)</f>
        <v>现场禁止使用氢能源挂车！优先威钢发货,我方卸车,新老国标钢厂不加价可直发，因陕钢多次出现磅差，项目拒绝使用</v>
      </c>
      <c r="M1802" s="91">
        <v>45822</v>
      </c>
      <c r="O1802" s="62">
        <f ca="1" t="shared" si="107"/>
        <v>0</v>
      </c>
      <c r="P1802" s="62">
        <f ca="1" t="shared" si="108"/>
        <v>138</v>
      </c>
      <c r="Q1802" s="29" t="str">
        <f>VLOOKUP(B1802,辅助信息!E:M,9,FALSE)</f>
        <v>ZTWM-CDGS-XS-2024-0030-华西集采-简州大道</v>
      </c>
    </row>
    <row r="1803" hidden="1" spans="2:17">
      <c r="B1803" s="40" t="s">
        <v>81</v>
      </c>
      <c r="C1803" s="70">
        <v>45820</v>
      </c>
      <c r="D1803" s="120" t="str">
        <f>VLOOKUP(B1803,辅助信息!E:K,7,FALSE)</f>
        <v>JWDDCD2025060900080</v>
      </c>
      <c r="E1803" s="120" t="str">
        <f>VLOOKUP(F1803,辅助信息!A:B,2,FALSE)</f>
        <v>螺纹钢</v>
      </c>
      <c r="F1803" s="40" t="s">
        <v>32</v>
      </c>
      <c r="G1803" s="36">
        <v>10</v>
      </c>
      <c r="H1803" s="121">
        <v>10</v>
      </c>
      <c r="I1803" s="120" t="str">
        <f>VLOOKUP(B1803,辅助信息!E:I,3,FALSE)</f>
        <v>（华西简阳西城嘉苑）四川省成都市简阳市简城街道高屋村</v>
      </c>
      <c r="J1803" s="120" t="str">
        <f>VLOOKUP(B1803,辅助信息!E:I,4,FALSE)</f>
        <v>张瀚镭</v>
      </c>
      <c r="K1803" s="120">
        <f>VLOOKUP(J1803,辅助信息!H:I,2,FALSE)</f>
        <v>15884666220</v>
      </c>
      <c r="L1803" s="122" t="str">
        <f>VLOOKUP(B1803,辅助信息!E:J,6,FALSE)</f>
        <v>现场禁止使用氢能源挂车！优先威钢发货,我方卸车,新老国标钢厂不加价可直发，因陕钢多次出现磅差，项目拒绝使用</v>
      </c>
      <c r="M1803" s="91">
        <v>45822</v>
      </c>
      <c r="O1803" s="62">
        <f ca="1" t="shared" si="107"/>
        <v>0</v>
      </c>
      <c r="P1803" s="62">
        <f ca="1" t="shared" si="108"/>
        <v>138</v>
      </c>
      <c r="Q1803" s="29" t="str">
        <f>VLOOKUP(B1803,辅助信息!E:M,9,FALSE)</f>
        <v>ZTWM-CDGS-XS-2024-0030-华西集采-简州大道</v>
      </c>
    </row>
    <row r="1804" hidden="1" spans="2:17">
      <c r="B1804" s="40" t="s">
        <v>81</v>
      </c>
      <c r="C1804" s="70">
        <v>45820</v>
      </c>
      <c r="D1804" s="120" t="str">
        <f>VLOOKUP(B1804,辅助信息!E:K,7,FALSE)</f>
        <v>JWDDCD2025060900080</v>
      </c>
      <c r="E1804" s="120" t="str">
        <f>VLOOKUP(F1804,辅助信息!A:B,2,FALSE)</f>
        <v>螺纹钢</v>
      </c>
      <c r="F1804" s="40" t="s">
        <v>30</v>
      </c>
      <c r="G1804" s="36">
        <v>5</v>
      </c>
      <c r="H1804" s="121">
        <v>5</v>
      </c>
      <c r="I1804" s="120" t="str">
        <f>VLOOKUP(B1804,辅助信息!E:I,3,FALSE)</f>
        <v>（华西简阳西城嘉苑）四川省成都市简阳市简城街道高屋村</v>
      </c>
      <c r="J1804" s="120" t="str">
        <f>VLOOKUP(B1804,辅助信息!E:I,4,FALSE)</f>
        <v>张瀚镭</v>
      </c>
      <c r="K1804" s="120">
        <f>VLOOKUP(J1804,辅助信息!H:I,2,FALSE)</f>
        <v>15884666220</v>
      </c>
      <c r="L1804" s="122" t="str">
        <f>VLOOKUP(B1804,辅助信息!E:J,6,FALSE)</f>
        <v>现场禁止使用氢能源挂车！优先威钢发货,我方卸车,新老国标钢厂不加价可直发，因陕钢多次出现磅差，项目拒绝使用</v>
      </c>
      <c r="M1804" s="91">
        <v>45822</v>
      </c>
      <c r="O1804" s="62">
        <f ca="1" t="shared" si="107"/>
        <v>0</v>
      </c>
      <c r="P1804" s="62">
        <f ca="1" t="shared" si="108"/>
        <v>138</v>
      </c>
      <c r="Q1804" s="29" t="str">
        <f>VLOOKUP(B1804,辅助信息!E:M,9,FALSE)</f>
        <v>ZTWM-CDGS-XS-2024-0030-华西集采-简州大道</v>
      </c>
    </row>
    <row r="1805" hidden="1" spans="2:17">
      <c r="B1805" s="40" t="s">
        <v>81</v>
      </c>
      <c r="C1805" s="70">
        <v>45820</v>
      </c>
      <c r="D1805" s="120" t="str">
        <f>VLOOKUP(B1805,辅助信息!E:K,7,FALSE)</f>
        <v>JWDDCD2025060900080</v>
      </c>
      <c r="E1805" s="120" t="str">
        <f>VLOOKUP(F1805,辅助信息!A:B,2,FALSE)</f>
        <v>螺纹钢</v>
      </c>
      <c r="F1805" s="40" t="s">
        <v>33</v>
      </c>
      <c r="G1805" s="36">
        <v>5</v>
      </c>
      <c r="H1805" s="121">
        <v>5</v>
      </c>
      <c r="I1805" s="120" t="str">
        <f>VLOOKUP(B1805,辅助信息!E:I,3,FALSE)</f>
        <v>（华西简阳西城嘉苑）四川省成都市简阳市简城街道高屋村</v>
      </c>
      <c r="J1805" s="120" t="str">
        <f>VLOOKUP(B1805,辅助信息!E:I,4,FALSE)</f>
        <v>张瀚镭</v>
      </c>
      <c r="K1805" s="120">
        <f>VLOOKUP(J1805,辅助信息!H:I,2,FALSE)</f>
        <v>15884666220</v>
      </c>
      <c r="L1805" s="122" t="str">
        <f>VLOOKUP(B1805,辅助信息!E:J,6,FALSE)</f>
        <v>现场禁止使用氢能源挂车！优先威钢发货,我方卸车,新老国标钢厂不加价可直发，因陕钢多次出现磅差，项目拒绝使用</v>
      </c>
      <c r="M1805" s="91">
        <v>45822</v>
      </c>
      <c r="O1805" s="62">
        <f ca="1" t="shared" si="107"/>
        <v>0</v>
      </c>
      <c r="P1805" s="62">
        <f ca="1" t="shared" si="108"/>
        <v>138</v>
      </c>
      <c r="Q1805" s="29" t="str">
        <f>VLOOKUP(B1805,辅助信息!E:M,9,FALSE)</f>
        <v>ZTWM-CDGS-XS-2024-0030-华西集采-简州大道</v>
      </c>
    </row>
    <row r="1806" hidden="1" spans="1:17">
      <c r="A1806" s="82" t="s">
        <v>165</v>
      </c>
      <c r="B1806" s="40" t="s">
        <v>81</v>
      </c>
      <c r="C1806" s="70">
        <v>45820</v>
      </c>
      <c r="D1806" s="120" t="str">
        <f>VLOOKUP(B1806,辅助信息!E:K,7,FALSE)</f>
        <v>JWDDCD2025060900080</v>
      </c>
      <c r="E1806" s="120" t="str">
        <f>VLOOKUP(F1806,辅助信息!A:B,2,FALSE)</f>
        <v>螺纹钢</v>
      </c>
      <c r="F1806" s="40" t="s">
        <v>45</v>
      </c>
      <c r="G1806" s="36">
        <v>7.5</v>
      </c>
      <c r="H1806" s="121">
        <v>7.5</v>
      </c>
      <c r="I1806" s="120" t="str">
        <f>VLOOKUP(B1806,辅助信息!E:I,3,FALSE)</f>
        <v>（华西简阳西城嘉苑）四川省成都市简阳市简城街道高屋村</v>
      </c>
      <c r="J1806" s="120" t="str">
        <f>VLOOKUP(B1806,辅助信息!E:I,4,FALSE)</f>
        <v>张瀚镭</v>
      </c>
      <c r="K1806" s="120">
        <f>VLOOKUP(J1806,辅助信息!H:I,2,FALSE)</f>
        <v>15884666220</v>
      </c>
      <c r="L1806" s="122" t="str">
        <f>VLOOKUP(B1806,辅助信息!E:J,6,FALSE)</f>
        <v>现场禁止使用氢能源挂车！优先威钢发货,我方卸车,新老国标钢厂不加价可直发，因陕钢多次出现磅差，项目拒绝使用</v>
      </c>
      <c r="M1806" s="91">
        <v>45822</v>
      </c>
      <c r="O1806" s="62">
        <f ca="1" t="shared" si="107"/>
        <v>0</v>
      </c>
      <c r="P1806" s="62">
        <f ca="1" t="shared" si="108"/>
        <v>138</v>
      </c>
      <c r="Q1806" s="29" t="str">
        <f>VLOOKUP(B1806,辅助信息!E:M,9,FALSE)</f>
        <v>ZTWM-CDGS-XS-2024-0030-华西集采-简州大道</v>
      </c>
    </row>
    <row r="1807" hidden="1" spans="1:17">
      <c r="A1807" s="82"/>
      <c r="B1807" s="40" t="s">
        <v>81</v>
      </c>
      <c r="C1807" s="70">
        <v>45820</v>
      </c>
      <c r="D1807" s="120" t="str">
        <f>VLOOKUP(B1807,辅助信息!E:K,7,FALSE)</f>
        <v>JWDDCD2025060900080</v>
      </c>
      <c r="E1807" s="120" t="str">
        <f>VLOOKUP(F1807,辅助信息!A:B,2,FALSE)</f>
        <v>螺纹钢</v>
      </c>
      <c r="F1807" s="40" t="s">
        <v>21</v>
      </c>
      <c r="G1807" s="36">
        <v>2.5</v>
      </c>
      <c r="H1807" s="121">
        <v>2.5</v>
      </c>
      <c r="I1807" s="120" t="str">
        <f>VLOOKUP(B1807,辅助信息!E:I,3,FALSE)</f>
        <v>（华西简阳西城嘉苑）四川省成都市简阳市简城街道高屋村</v>
      </c>
      <c r="J1807" s="120" t="str">
        <f>VLOOKUP(B1807,辅助信息!E:I,4,FALSE)</f>
        <v>张瀚镭</v>
      </c>
      <c r="K1807" s="120">
        <f>VLOOKUP(J1807,辅助信息!H:I,2,FALSE)</f>
        <v>15884666220</v>
      </c>
      <c r="L1807" s="122" t="str">
        <f>VLOOKUP(B1807,辅助信息!E:J,6,FALSE)</f>
        <v>现场禁止使用氢能源挂车！优先威钢发货,我方卸车,新老国标钢厂不加价可直发，因陕钢多次出现磅差，项目拒绝使用</v>
      </c>
      <c r="M1807" s="91">
        <v>45822</v>
      </c>
      <c r="O1807" s="62">
        <f ca="1" t="shared" si="107"/>
        <v>0</v>
      </c>
      <c r="P1807" s="62">
        <f ca="1" t="shared" si="108"/>
        <v>138</v>
      </c>
      <c r="Q1807" s="29" t="str">
        <f>VLOOKUP(B1807,辅助信息!E:M,9,FALSE)</f>
        <v>ZTWM-CDGS-XS-2024-0030-华西集采-简州大道</v>
      </c>
    </row>
    <row r="1808" hidden="1" spans="1:17">
      <c r="A1808" s="82"/>
      <c r="B1808" s="40" t="s">
        <v>81</v>
      </c>
      <c r="C1808" s="70">
        <v>45820</v>
      </c>
      <c r="D1808" s="120" t="str">
        <f>VLOOKUP(B1808,辅助信息!E:K,7,FALSE)</f>
        <v>JWDDCD2025060900080</v>
      </c>
      <c r="E1808" s="120" t="str">
        <f>VLOOKUP(F1808,辅助信息!A:B,2,FALSE)</f>
        <v>螺纹钢</v>
      </c>
      <c r="F1808" s="40" t="s">
        <v>58</v>
      </c>
      <c r="G1808" s="36">
        <v>13.5</v>
      </c>
      <c r="H1808" s="121">
        <v>13.5</v>
      </c>
      <c r="I1808" s="120" t="str">
        <f>VLOOKUP(B1808,辅助信息!E:I,3,FALSE)</f>
        <v>（华西简阳西城嘉苑）四川省成都市简阳市简城街道高屋村</v>
      </c>
      <c r="J1808" s="120" t="str">
        <f>VLOOKUP(B1808,辅助信息!E:I,4,FALSE)</f>
        <v>张瀚镭</v>
      </c>
      <c r="K1808" s="120">
        <f>VLOOKUP(J1808,辅助信息!H:I,2,FALSE)</f>
        <v>15884666220</v>
      </c>
      <c r="L1808" s="122" t="str">
        <f>VLOOKUP(B1808,辅助信息!E:J,6,FALSE)</f>
        <v>现场禁止使用氢能源挂车！优先威钢发货,我方卸车,新老国标钢厂不加价可直发，因陕钢多次出现磅差，项目拒绝使用</v>
      </c>
      <c r="M1808" s="91">
        <v>45822</v>
      </c>
      <c r="O1808" s="62">
        <f ca="1" t="shared" si="107"/>
        <v>0</v>
      </c>
      <c r="P1808" s="62">
        <f ca="1" t="shared" si="108"/>
        <v>138</v>
      </c>
      <c r="Q1808" s="29" t="str">
        <f>VLOOKUP(B1808,辅助信息!E:M,9,FALSE)</f>
        <v>ZTWM-CDGS-XS-2024-0030-华西集采-简州大道</v>
      </c>
    </row>
    <row r="1809" hidden="1" spans="1:17">
      <c r="A1809" s="82"/>
      <c r="B1809" s="40" t="s">
        <v>81</v>
      </c>
      <c r="C1809" s="70">
        <v>45820</v>
      </c>
      <c r="D1809" s="120" t="str">
        <f>VLOOKUP(B1809,辅助信息!E:K,7,FALSE)</f>
        <v>JWDDCD2025060900080</v>
      </c>
      <c r="E1809" s="120" t="str">
        <f>VLOOKUP(F1809,辅助信息!A:B,2,FALSE)</f>
        <v>螺纹钢</v>
      </c>
      <c r="F1809" s="40" t="s">
        <v>46</v>
      </c>
      <c r="G1809" s="36">
        <v>2.5</v>
      </c>
      <c r="H1809" s="121">
        <v>2.5</v>
      </c>
      <c r="I1809" s="120" t="str">
        <f>VLOOKUP(B1809,辅助信息!E:I,3,FALSE)</f>
        <v>（华西简阳西城嘉苑）四川省成都市简阳市简城街道高屋村</v>
      </c>
      <c r="J1809" s="120" t="str">
        <f>VLOOKUP(B1809,辅助信息!E:I,4,FALSE)</f>
        <v>张瀚镭</v>
      </c>
      <c r="K1809" s="120">
        <f>VLOOKUP(J1809,辅助信息!H:I,2,FALSE)</f>
        <v>15884666220</v>
      </c>
      <c r="L1809" s="122" t="str">
        <f>VLOOKUP(B1809,辅助信息!E:J,6,FALSE)</f>
        <v>现场禁止使用氢能源挂车！优先威钢发货,我方卸车,新老国标钢厂不加价可直发，因陕钢多次出现磅差，项目拒绝使用</v>
      </c>
      <c r="M1809" s="91">
        <v>45822</v>
      </c>
      <c r="O1809" s="62">
        <f ca="1" t="shared" si="107"/>
        <v>0</v>
      </c>
      <c r="P1809" s="62">
        <f ca="1" t="shared" si="108"/>
        <v>138</v>
      </c>
      <c r="Q1809" s="29" t="str">
        <f>VLOOKUP(B1809,辅助信息!E:M,9,FALSE)</f>
        <v>ZTWM-CDGS-XS-2024-0030-华西集采-简州大道</v>
      </c>
    </row>
    <row r="1810" hidden="1" spans="1:17">
      <c r="A1810" s="82"/>
      <c r="B1810" s="40" t="s">
        <v>81</v>
      </c>
      <c r="C1810" s="70">
        <v>45820</v>
      </c>
      <c r="D1810" s="120" t="str">
        <f>VLOOKUP(B1810,辅助信息!E:K,7,FALSE)</f>
        <v>JWDDCD2025060900080</v>
      </c>
      <c r="E1810" s="120" t="str">
        <f>VLOOKUP(F1810,辅助信息!A:B,2,FALSE)</f>
        <v>螺纹钢</v>
      </c>
      <c r="F1810" s="40" t="s">
        <v>22</v>
      </c>
      <c r="G1810" s="36">
        <v>16.5</v>
      </c>
      <c r="H1810" s="121">
        <v>16.5</v>
      </c>
      <c r="I1810" s="120" t="str">
        <f>VLOOKUP(B1810,辅助信息!E:I,3,FALSE)</f>
        <v>（华西简阳西城嘉苑）四川省成都市简阳市简城街道高屋村</v>
      </c>
      <c r="J1810" s="120" t="str">
        <f>VLOOKUP(B1810,辅助信息!E:I,4,FALSE)</f>
        <v>张瀚镭</v>
      </c>
      <c r="K1810" s="120">
        <f>VLOOKUP(J1810,辅助信息!H:I,2,FALSE)</f>
        <v>15884666220</v>
      </c>
      <c r="L1810" s="122" t="str">
        <f>VLOOKUP(B1810,辅助信息!E:J,6,FALSE)</f>
        <v>现场禁止使用氢能源挂车！优先威钢发货,我方卸车,新老国标钢厂不加价可直发，因陕钢多次出现磅差，项目拒绝使用</v>
      </c>
      <c r="M1810" s="91">
        <v>45822</v>
      </c>
      <c r="O1810" s="62">
        <f ca="1" t="shared" si="107"/>
        <v>0</v>
      </c>
      <c r="P1810" s="62">
        <f ca="1" t="shared" si="108"/>
        <v>138</v>
      </c>
      <c r="Q1810" s="29" t="str">
        <f>VLOOKUP(B1810,辅助信息!E:M,9,FALSE)</f>
        <v>ZTWM-CDGS-XS-2024-0030-华西集采-简州大道</v>
      </c>
    </row>
    <row r="1811" hidden="1" spans="1:18">
      <c r="A1811" s="71" t="s">
        <v>100</v>
      </c>
      <c r="B1811" s="40" t="s">
        <v>106</v>
      </c>
      <c r="C1811" s="70">
        <v>45821</v>
      </c>
      <c r="D1811" s="120" t="str">
        <f>VLOOKUP(B1811,辅助信息!E:K,7,FALSE)</f>
        <v>JWDDCD2024101600133</v>
      </c>
      <c r="E1811" s="120" t="str">
        <f>VLOOKUP(F1811,辅助信息!A:B,2,FALSE)</f>
        <v>盘螺</v>
      </c>
      <c r="F1811" s="40" t="s">
        <v>40</v>
      </c>
      <c r="G1811" s="36">
        <v>35</v>
      </c>
      <c r="H1811" s="121">
        <f>_xlfn.XLOOKUP(C1811&amp;F1811&amp;I1811&amp;J1811,'[1]2025年已发货'!$F:$F&amp;'[1]2025年已发货'!$C:$C&amp;'[1]2025年已发货'!$G:$G&amp;'[1]2025年已发货'!$H:$H,'[1]2025年已发货'!$E:$E,"未发货")</f>
        <v>35</v>
      </c>
      <c r="I1811" s="120" t="str">
        <f>VLOOKUP(B1811,辅助信息!E:I,3,FALSE)</f>
        <v>（五冶钢构宜宾高县月江镇建设项目）  四川省宜宾市高县月江镇刚记超市斜对面(还阳组团沪碳二期项目)</v>
      </c>
      <c r="J1811" s="120" t="str">
        <f>VLOOKUP(B1811,辅助信息!E:I,4,FALSE)</f>
        <v>张朝亮</v>
      </c>
      <c r="K1811" s="120">
        <f>VLOOKUP(J1811,辅助信息!H:I,2,FALSE)</f>
        <v>15228205853</v>
      </c>
      <c r="L1811" s="122" t="str">
        <f>VLOOKUP(B1811,辅助信息!E:J,6,FALSE)</f>
        <v>提前联系到场规格</v>
      </c>
      <c r="M1811" s="91">
        <v>45819</v>
      </c>
      <c r="O1811" s="62">
        <f ca="1" t="shared" si="107"/>
        <v>0</v>
      </c>
      <c r="P1811" s="62">
        <f ca="1" t="shared" si="108"/>
        <v>141</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0" t="s">
        <v>161</v>
      </c>
      <c r="C1812" s="70">
        <v>45821</v>
      </c>
      <c r="D1812" s="120" t="str">
        <f>VLOOKUP(B1812,辅助信息!E:K,7,FALSE)</f>
        <v>JWDD2025071500089</v>
      </c>
      <c r="E1812" s="120" t="str">
        <f>VLOOKUP(F1812,辅助信息!A:B,2,FALSE)</f>
        <v>盘螺</v>
      </c>
      <c r="F1812" s="120" t="s">
        <v>41</v>
      </c>
      <c r="G1812" s="121">
        <v>16</v>
      </c>
      <c r="H1812" s="121" t="str">
        <f>_xlfn.XLOOKUP(C1812&amp;F1812&amp;I1812&amp;J1812,'[1]2025年已发货'!$F:$F&amp;'[1]2025年已发货'!$C:$C&amp;'[1]2025年已发货'!$G:$G&amp;'[1]2025年已发货'!$H:$H,'[1]2025年已发货'!$E:$E,"未发货")</f>
        <v>未发货</v>
      </c>
      <c r="I1812" s="120" t="str">
        <f>VLOOKUP(B1812,辅助信息!E:I,3,FALSE)</f>
        <v>(宜宾兴港三江新区长江工业园保障性租赁住房建设项目-1标)四川省宜宾市翠屏区永善路南段宜宾市三江新区长江工业园区</v>
      </c>
      <c r="J1812" s="120" t="str">
        <f>VLOOKUP(B1812,辅助信息!E:I,4,FALSE)</f>
        <v>赵元虎</v>
      </c>
      <c r="K1812" s="120">
        <f>VLOOKUP(J1812,辅助信息!H:I,2,FALSE)</f>
        <v>13684167136</v>
      </c>
      <c r="L1812" s="122" t="str">
        <f>VLOOKUP(B1812,辅助信息!E:J,6,FALSE)</f>
        <v>现场要求调度统一联系指定收货人，不单独发司机位置。锈货不收，装货前联系收货人核实到场规格,没提前告知进场规格现场不给予接收</v>
      </c>
      <c r="M1812" s="91">
        <v>45819</v>
      </c>
      <c r="O1812" s="62">
        <f ca="1" t="shared" ref="O1812:O1833" si="109">IF(OR(M1812="",N1812&lt;&gt;""),"",MAX(M1812-TODAY(),0))</f>
        <v>0</v>
      </c>
      <c r="P1812" s="62">
        <f ca="1" t="shared" ref="P1812:P1833" si="110">IF(M1812="","",IF(N1812&lt;&gt;"",MAX(N1812-M1812,0),IF(TODAY()&gt;M1812,TODAY()-M1812,0)))</f>
        <v>141</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0" t="s">
        <v>161</v>
      </c>
      <c r="C1813" s="70">
        <v>45821</v>
      </c>
      <c r="D1813" s="120" t="str">
        <f>VLOOKUP(B1813,辅助信息!E:K,7,FALSE)</f>
        <v>JWDD2025071500089</v>
      </c>
      <c r="E1813" s="120" t="str">
        <f>VLOOKUP(F1813,辅助信息!A:B,2,FALSE)</f>
        <v>盘螺</v>
      </c>
      <c r="F1813" s="120" t="s">
        <v>26</v>
      </c>
      <c r="G1813" s="121">
        <v>9</v>
      </c>
      <c r="H1813" s="121" t="str">
        <f>_xlfn.XLOOKUP(C1813&amp;F1813&amp;I1813&amp;J1813,'[1]2025年已发货'!$F:$F&amp;'[1]2025年已发货'!$C:$C&amp;'[1]2025年已发货'!$G:$G&amp;'[1]2025年已发货'!$H:$H,'[1]2025年已发货'!$E:$E,"未发货")</f>
        <v>未发货</v>
      </c>
      <c r="I1813" s="120" t="str">
        <f>VLOOKUP(B1813,辅助信息!E:I,3,FALSE)</f>
        <v>(宜宾兴港三江新区长江工业园保障性租赁住房建设项目-1标)四川省宜宾市翠屏区永善路南段宜宾市三江新区长江工业园区</v>
      </c>
      <c r="J1813" s="120" t="str">
        <f>VLOOKUP(B1813,辅助信息!E:I,4,FALSE)</f>
        <v>赵元虎</v>
      </c>
      <c r="K1813" s="120">
        <f>VLOOKUP(J1813,辅助信息!H:I,2,FALSE)</f>
        <v>13684167136</v>
      </c>
      <c r="L1813" s="122" t="str">
        <f>VLOOKUP(B1813,辅助信息!E:J,6,FALSE)</f>
        <v>现场要求调度统一联系指定收货人，不单独发司机位置。锈货不收，装货前联系收货人核实到场规格,没提前告知进场规格现场不给予接收</v>
      </c>
      <c r="M1813" s="91">
        <v>45819</v>
      </c>
      <c r="O1813" s="62">
        <f ca="1" t="shared" si="109"/>
        <v>0</v>
      </c>
      <c r="P1813" s="62">
        <f ca="1" t="shared" si="110"/>
        <v>141</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0" t="s">
        <v>161</v>
      </c>
      <c r="C1814" s="70">
        <v>45821</v>
      </c>
      <c r="D1814" s="120" t="str">
        <f>VLOOKUP(B1814,辅助信息!E:K,7,FALSE)</f>
        <v>JWDD2025071500089</v>
      </c>
      <c r="E1814" s="120" t="str">
        <f>VLOOKUP(F1814,辅助信息!A:B,2,FALSE)</f>
        <v>螺纹钢</v>
      </c>
      <c r="F1814" s="120" t="s">
        <v>19</v>
      </c>
      <c r="G1814" s="121">
        <v>4</v>
      </c>
      <c r="H1814" s="121" t="str">
        <f>_xlfn.XLOOKUP(C1814&amp;F1814&amp;I1814&amp;J1814,'[1]2025年已发货'!$F:$F&amp;'[1]2025年已发货'!$C:$C&amp;'[1]2025年已发货'!$G:$G&amp;'[1]2025年已发货'!$H:$H,'[1]2025年已发货'!$E:$E,"未发货")</f>
        <v>未发货</v>
      </c>
      <c r="I1814" s="120" t="str">
        <f>VLOOKUP(B1814,辅助信息!E:I,3,FALSE)</f>
        <v>(宜宾兴港三江新区长江工业园保障性租赁住房建设项目-1标)四川省宜宾市翠屏区永善路南段宜宾市三江新区长江工业园区</v>
      </c>
      <c r="J1814" s="120" t="str">
        <f>VLOOKUP(B1814,辅助信息!E:I,4,FALSE)</f>
        <v>赵元虎</v>
      </c>
      <c r="K1814" s="120">
        <f>VLOOKUP(J1814,辅助信息!H:I,2,FALSE)</f>
        <v>13684167136</v>
      </c>
      <c r="L1814" s="122" t="str">
        <f>VLOOKUP(B1814,辅助信息!E:J,6,FALSE)</f>
        <v>现场要求调度统一联系指定收货人，不单独发司机位置。锈货不收，装货前联系收货人核实到场规格,没提前告知进场规格现场不给予接收</v>
      </c>
      <c r="M1814" s="91">
        <v>45819</v>
      </c>
      <c r="O1814" s="62">
        <f ca="1" t="shared" si="109"/>
        <v>0</v>
      </c>
      <c r="P1814" s="62">
        <f ca="1" t="shared" si="110"/>
        <v>141</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0" t="s">
        <v>161</v>
      </c>
      <c r="C1815" s="70">
        <v>45821</v>
      </c>
      <c r="D1815" s="120" t="str">
        <f>VLOOKUP(B1815,辅助信息!E:K,7,FALSE)</f>
        <v>JWDD2025071500089</v>
      </c>
      <c r="E1815" s="120" t="str">
        <f>VLOOKUP(F1815,辅助信息!A:B,2,FALSE)</f>
        <v>螺纹钢</v>
      </c>
      <c r="F1815" s="120" t="s">
        <v>30</v>
      </c>
      <c r="G1815" s="121">
        <v>90</v>
      </c>
      <c r="H1815" s="121">
        <v>80</v>
      </c>
      <c r="I1815" s="120" t="str">
        <f>VLOOKUP(B1815,辅助信息!E:I,3,FALSE)</f>
        <v>(宜宾兴港三江新区长江工业园保障性租赁住房建设项目-1标)四川省宜宾市翠屏区永善路南段宜宾市三江新区长江工业园区</v>
      </c>
      <c r="J1815" s="120" t="str">
        <f>VLOOKUP(B1815,辅助信息!E:I,4,FALSE)</f>
        <v>赵元虎</v>
      </c>
      <c r="K1815" s="120">
        <f>VLOOKUP(J1815,辅助信息!H:I,2,FALSE)</f>
        <v>13684167136</v>
      </c>
      <c r="L1815" s="122" t="str">
        <f>VLOOKUP(B1815,辅助信息!E:J,6,FALSE)</f>
        <v>现场要求调度统一联系指定收货人，不单独发司机位置。锈货不收，装货前联系收货人核实到场规格,没提前告知进场规格现场不给予接收</v>
      </c>
      <c r="M1815" s="91">
        <v>45819</v>
      </c>
      <c r="O1815" s="62">
        <f ca="1" t="shared" si="109"/>
        <v>0</v>
      </c>
      <c r="P1815" s="62">
        <f ca="1" t="shared" si="110"/>
        <v>141</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0" t="s">
        <v>162</v>
      </c>
      <c r="C1816" s="70">
        <v>45821</v>
      </c>
      <c r="D1816" s="120" t="str">
        <f>VLOOKUP(B1816,辅助信息!E:K,7,FALSE)</f>
        <v>JWDD2025071500089</v>
      </c>
      <c r="E1816" s="120" t="str">
        <f>VLOOKUP(F1816,辅助信息!A:B,2,FALSE)</f>
        <v>盘螺</v>
      </c>
      <c r="F1816" s="120" t="s">
        <v>41</v>
      </c>
      <c r="G1816" s="121">
        <v>10</v>
      </c>
      <c r="H1816" s="121" t="str">
        <f>_xlfn.XLOOKUP(C1816&amp;F1816&amp;I1816&amp;J1816,'[1]2025年已发货'!$F:$F&amp;'[1]2025年已发货'!$C:$C&amp;'[1]2025年已发货'!$G:$G&amp;'[1]2025年已发货'!$H:$H,'[1]2025年已发货'!$E:$E,"未发货")</f>
        <v>未发货</v>
      </c>
      <c r="I1816" s="120" t="str">
        <f>VLOOKUP(B1816,辅助信息!E:I,3,FALSE)</f>
        <v>(宜宾兴港三江新区长江工业园保障性租赁住房建设项目-2标)四川省宜宾市翠屏区永善路南段宜宾市三江新区长江工业园区</v>
      </c>
      <c r="J1816" s="120" t="str">
        <f>VLOOKUP(B1816,辅助信息!E:I,4,FALSE)</f>
        <v>赵元虎</v>
      </c>
      <c r="K1816" s="120">
        <f>VLOOKUP(J1816,辅助信息!H:I,2,FALSE)</f>
        <v>13684167136</v>
      </c>
      <c r="L1816" s="122" t="str">
        <f>VLOOKUP(B1816,辅助信息!E:J,6,FALSE)</f>
        <v>现场要求调度统一联系指定收货人，不单独发司机位置。锈货不收，装货前联系收货人核实到场规格,没提前告知进场规格现场不给予接收</v>
      </c>
      <c r="M1816" s="91">
        <v>45819</v>
      </c>
      <c r="O1816" s="62">
        <f ca="1" t="shared" si="109"/>
        <v>0</v>
      </c>
      <c r="P1816" s="62">
        <f ca="1" t="shared" si="110"/>
        <v>141</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0" t="s">
        <v>162</v>
      </c>
      <c r="C1817" s="70">
        <v>45821</v>
      </c>
      <c r="D1817" s="120" t="str">
        <f>VLOOKUP(B1817,辅助信息!E:K,7,FALSE)</f>
        <v>JWDD2025071500089</v>
      </c>
      <c r="E1817" s="120" t="str">
        <f>VLOOKUP(F1817,辅助信息!A:B,2,FALSE)</f>
        <v>盘螺</v>
      </c>
      <c r="F1817" s="120" t="s">
        <v>26</v>
      </c>
      <c r="G1817" s="121">
        <v>10</v>
      </c>
      <c r="H1817" s="121" t="str">
        <f>_xlfn.XLOOKUP(C1817&amp;F1817&amp;I1817&amp;J1817,'[1]2025年已发货'!$F:$F&amp;'[1]2025年已发货'!$C:$C&amp;'[1]2025年已发货'!$G:$G&amp;'[1]2025年已发货'!$H:$H,'[1]2025年已发货'!$E:$E,"未发货")</f>
        <v>未发货</v>
      </c>
      <c r="I1817" s="120" t="str">
        <f>VLOOKUP(B1817,辅助信息!E:I,3,FALSE)</f>
        <v>(宜宾兴港三江新区长江工业园保障性租赁住房建设项目-2标)四川省宜宾市翠屏区永善路南段宜宾市三江新区长江工业园区</v>
      </c>
      <c r="J1817" s="120" t="str">
        <f>VLOOKUP(B1817,辅助信息!E:I,4,FALSE)</f>
        <v>赵元虎</v>
      </c>
      <c r="K1817" s="120">
        <f>VLOOKUP(J1817,辅助信息!H:I,2,FALSE)</f>
        <v>13684167136</v>
      </c>
      <c r="L1817" s="122" t="str">
        <f>VLOOKUP(B1817,辅助信息!E:J,6,FALSE)</f>
        <v>现场要求调度统一联系指定收货人，不单独发司机位置。锈货不收，装货前联系收货人核实到场规格,没提前告知进场规格现场不给予接收</v>
      </c>
      <c r="M1817" s="91">
        <v>45819</v>
      </c>
      <c r="O1817" s="62">
        <f ca="1" t="shared" si="109"/>
        <v>0</v>
      </c>
      <c r="P1817" s="62">
        <f ca="1" t="shared" si="110"/>
        <v>141</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0" t="s">
        <v>162</v>
      </c>
      <c r="C1818" s="70">
        <v>45821</v>
      </c>
      <c r="D1818" s="120" t="str">
        <f>VLOOKUP(B1818,辅助信息!E:K,7,FALSE)</f>
        <v>JWDD2025071500089</v>
      </c>
      <c r="E1818" s="120" t="str">
        <f>VLOOKUP(F1818,辅助信息!A:B,2,FALSE)</f>
        <v>螺纹钢</v>
      </c>
      <c r="F1818" s="120" t="s">
        <v>30</v>
      </c>
      <c r="G1818" s="121">
        <v>70</v>
      </c>
      <c r="H1818" s="121">
        <v>0</v>
      </c>
      <c r="I1818" s="120" t="str">
        <f>VLOOKUP(B1818,辅助信息!E:I,3,FALSE)</f>
        <v>(宜宾兴港三江新区长江工业园保障性租赁住房建设项目-2标)四川省宜宾市翠屏区永善路南段宜宾市三江新区长江工业园区</v>
      </c>
      <c r="J1818" s="120" t="str">
        <f>VLOOKUP(B1818,辅助信息!E:I,4,FALSE)</f>
        <v>赵元虎</v>
      </c>
      <c r="K1818" s="120">
        <f>VLOOKUP(J1818,辅助信息!H:I,2,FALSE)</f>
        <v>13684167136</v>
      </c>
      <c r="L1818" s="122" t="str">
        <f>VLOOKUP(B1818,辅助信息!E:J,6,FALSE)</f>
        <v>现场要求调度统一联系指定收货人，不单独发司机位置。锈货不收，装货前联系收货人核实到场规格,没提前告知进场规格现场不给予接收</v>
      </c>
      <c r="M1818" s="91">
        <v>45819</v>
      </c>
      <c r="O1818" s="62">
        <f ca="1" t="shared" si="109"/>
        <v>0</v>
      </c>
      <c r="P1818" s="62">
        <f ca="1" t="shared" si="110"/>
        <v>141</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0" t="s">
        <v>147</v>
      </c>
      <c r="C1819" s="70">
        <v>45821</v>
      </c>
      <c r="D1819" s="120" t="str">
        <f>VLOOKUP(B1819,辅助信息!E:K,7,FALSE)</f>
        <v>JWDDCD2025052800131</v>
      </c>
      <c r="E1819" s="120" t="str">
        <f>VLOOKUP(F1819,辅助信息!A:B,2,FALSE)</f>
        <v>高线</v>
      </c>
      <c r="F1819" s="120" t="s">
        <v>57</v>
      </c>
      <c r="G1819" s="121">
        <v>9</v>
      </c>
      <c r="H1819" s="121" t="str">
        <f>_xlfn.XLOOKUP(C1819&amp;F1819&amp;I1819&amp;J1819,'[1]2025年已发货'!$F:$F&amp;'[1]2025年已发货'!$C:$C&amp;'[1]2025年已发货'!$G:$G&amp;'[1]2025年已发货'!$H:$H,'[1]2025年已发货'!$E:$E,"未发货")</f>
        <v>未发货</v>
      </c>
      <c r="I1819" s="120" t="str">
        <f>VLOOKUP(B1819,辅助信息!E:I,3,FALSE)</f>
        <v>（商投建工达州中医药科技园-4工区-11号楼）达州市通川区达州中医药职业学院犀牛大道北段</v>
      </c>
      <c r="J1819" s="120" t="str">
        <f>VLOOKUP(B1819,辅助信息!E:I,4,FALSE)</f>
        <v>张扬</v>
      </c>
      <c r="K1819" s="120">
        <f>VLOOKUP(J1819,辅助信息!H:I,2,FALSE)</f>
        <v>18381904567</v>
      </c>
      <c r="L1819" s="122" t="str">
        <f>VLOOKUP(B1819,辅助信息!E:J,6,FALSE)</f>
        <v>控制炉批号！多了现场不收！,优先安排达钢,提前联系到场规格及数量</v>
      </c>
      <c r="M1819" s="91">
        <v>45822</v>
      </c>
      <c r="O1819" s="62">
        <f ca="1" t="shared" si="109"/>
        <v>0</v>
      </c>
      <c r="P1819" s="62">
        <f ca="1" t="shared" si="110"/>
        <v>138</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0" t="s">
        <v>147</v>
      </c>
      <c r="C1820" s="70">
        <v>45821</v>
      </c>
      <c r="D1820" s="120" t="str">
        <f>VLOOKUP(B1820,辅助信息!E:K,7,FALSE)</f>
        <v>JWDDCD2025052800131</v>
      </c>
      <c r="E1820" s="120" t="str">
        <f>VLOOKUP(F1820,辅助信息!A:B,2,FALSE)</f>
        <v>螺纹钢</v>
      </c>
      <c r="F1820" s="120" t="s">
        <v>32</v>
      </c>
      <c r="G1820" s="121">
        <v>12</v>
      </c>
      <c r="H1820" s="121" t="str">
        <f>_xlfn.XLOOKUP(C1820&amp;F1820&amp;I1820&amp;J1820,'[1]2025年已发货'!$F:$F&amp;'[1]2025年已发货'!$C:$C&amp;'[1]2025年已发货'!$G:$G&amp;'[1]2025年已发货'!$H:$H,'[1]2025年已发货'!$E:$E,"未发货")</f>
        <v>未发货</v>
      </c>
      <c r="I1820" s="120" t="str">
        <f>VLOOKUP(B1820,辅助信息!E:I,3,FALSE)</f>
        <v>（商投建工达州中医药科技园-4工区-11号楼）达州市通川区达州中医药职业学院犀牛大道北段</v>
      </c>
      <c r="J1820" s="120" t="str">
        <f>VLOOKUP(B1820,辅助信息!E:I,4,FALSE)</f>
        <v>张扬</v>
      </c>
      <c r="K1820" s="120">
        <f>VLOOKUP(J1820,辅助信息!H:I,2,FALSE)</f>
        <v>18381904567</v>
      </c>
      <c r="L1820" s="122" t="str">
        <f>VLOOKUP(B1820,辅助信息!E:J,6,FALSE)</f>
        <v>控制炉批号！多了现场不收！,优先安排达钢,提前联系到场规格及数量</v>
      </c>
      <c r="M1820" s="91">
        <v>45822</v>
      </c>
      <c r="O1820" s="62">
        <f ca="1" t="shared" si="109"/>
        <v>0</v>
      </c>
      <c r="P1820" s="62">
        <f ca="1" t="shared" si="110"/>
        <v>138</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0" t="s">
        <v>147</v>
      </c>
      <c r="C1821" s="70">
        <v>45821</v>
      </c>
      <c r="D1821" s="120" t="str">
        <f>VLOOKUP(B1821,辅助信息!E:K,7,FALSE)</f>
        <v>JWDDCD2025052800131</v>
      </c>
      <c r="E1821" s="120" t="str">
        <f>VLOOKUP(F1821,辅助信息!A:B,2,FALSE)</f>
        <v>螺纹钢</v>
      </c>
      <c r="F1821" s="120" t="s">
        <v>30</v>
      </c>
      <c r="G1821" s="121">
        <v>3</v>
      </c>
      <c r="H1821" s="121" t="str">
        <f>_xlfn.XLOOKUP(C1821&amp;F1821&amp;I1821&amp;J1821,'[1]2025年已发货'!$F:$F&amp;'[1]2025年已发货'!$C:$C&amp;'[1]2025年已发货'!$G:$G&amp;'[1]2025年已发货'!$H:$H,'[1]2025年已发货'!$E:$E,"未发货")</f>
        <v>未发货</v>
      </c>
      <c r="I1821" s="120" t="str">
        <f>VLOOKUP(B1821,辅助信息!E:I,3,FALSE)</f>
        <v>（商投建工达州中医药科技园-4工区-11号楼）达州市通川区达州中医药职业学院犀牛大道北段</v>
      </c>
      <c r="J1821" s="120" t="str">
        <f>VLOOKUP(B1821,辅助信息!E:I,4,FALSE)</f>
        <v>张扬</v>
      </c>
      <c r="K1821" s="120">
        <f>VLOOKUP(J1821,辅助信息!H:I,2,FALSE)</f>
        <v>18381904567</v>
      </c>
      <c r="L1821" s="122" t="str">
        <f>VLOOKUP(B1821,辅助信息!E:J,6,FALSE)</f>
        <v>控制炉批号！多了现场不收！,优先安排达钢,提前联系到场规格及数量</v>
      </c>
      <c r="M1821" s="91">
        <v>45822</v>
      </c>
      <c r="O1821" s="62">
        <f ca="1" t="shared" si="109"/>
        <v>0</v>
      </c>
      <c r="P1821" s="62">
        <f ca="1" t="shared" si="110"/>
        <v>138</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0" t="s">
        <v>147</v>
      </c>
      <c r="C1822" s="70">
        <v>45821</v>
      </c>
      <c r="D1822" s="120" t="str">
        <f>VLOOKUP(B1822,辅助信息!E:K,7,FALSE)</f>
        <v>JWDDCD2025052800131</v>
      </c>
      <c r="E1822" s="120" t="str">
        <f>VLOOKUP(F1822,辅助信息!A:B,2,FALSE)</f>
        <v>螺纹钢</v>
      </c>
      <c r="F1822" s="120" t="s">
        <v>28</v>
      </c>
      <c r="G1822" s="121">
        <v>3</v>
      </c>
      <c r="H1822" s="121" t="str">
        <f>_xlfn.XLOOKUP(C1822&amp;F1822&amp;I1822&amp;J1822,'[1]2025年已发货'!$F:$F&amp;'[1]2025年已发货'!$C:$C&amp;'[1]2025年已发货'!$G:$G&amp;'[1]2025年已发货'!$H:$H,'[1]2025年已发货'!$E:$E,"未发货")</f>
        <v>未发货</v>
      </c>
      <c r="I1822" s="120" t="str">
        <f>VLOOKUP(B1822,辅助信息!E:I,3,FALSE)</f>
        <v>（商投建工达州中医药科技园-4工区-11号楼）达州市通川区达州中医药职业学院犀牛大道北段</v>
      </c>
      <c r="J1822" s="120" t="str">
        <f>VLOOKUP(B1822,辅助信息!E:I,4,FALSE)</f>
        <v>张扬</v>
      </c>
      <c r="K1822" s="120">
        <f>VLOOKUP(J1822,辅助信息!H:I,2,FALSE)</f>
        <v>18381904567</v>
      </c>
      <c r="L1822" s="122" t="str">
        <f>VLOOKUP(B1822,辅助信息!E:J,6,FALSE)</f>
        <v>控制炉批号！多了现场不收！,优先安排达钢,提前联系到场规格及数量</v>
      </c>
      <c r="M1822" s="91">
        <v>45822</v>
      </c>
      <c r="O1822" s="62">
        <f ca="1" t="shared" si="109"/>
        <v>0</v>
      </c>
      <c r="P1822" s="62">
        <f ca="1" t="shared" si="110"/>
        <v>138</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0" t="s">
        <v>147</v>
      </c>
      <c r="C1823" s="70">
        <v>45821</v>
      </c>
      <c r="D1823" s="120" t="str">
        <f>VLOOKUP(B1823,辅助信息!E:K,7,FALSE)</f>
        <v>JWDDCD2025052800131</v>
      </c>
      <c r="E1823" s="120" t="str">
        <f>VLOOKUP(F1823,辅助信息!A:B,2,FALSE)</f>
        <v>螺纹钢</v>
      </c>
      <c r="F1823" s="120" t="s">
        <v>18</v>
      </c>
      <c r="G1823" s="121">
        <v>15</v>
      </c>
      <c r="H1823" s="121" t="str">
        <f>_xlfn.XLOOKUP(C1823&amp;F1823&amp;I1823&amp;J1823,'[1]2025年已发货'!$F:$F&amp;'[1]2025年已发货'!$C:$C&amp;'[1]2025年已发货'!$G:$G&amp;'[1]2025年已发货'!$H:$H,'[1]2025年已发货'!$E:$E,"未发货")</f>
        <v>未发货</v>
      </c>
      <c r="I1823" s="120" t="str">
        <f>VLOOKUP(B1823,辅助信息!E:I,3,FALSE)</f>
        <v>（商投建工达州中医药科技园-4工区-11号楼）达州市通川区达州中医药职业学院犀牛大道北段</v>
      </c>
      <c r="J1823" s="120" t="str">
        <f>VLOOKUP(B1823,辅助信息!E:I,4,FALSE)</f>
        <v>张扬</v>
      </c>
      <c r="K1823" s="120">
        <f>VLOOKUP(J1823,辅助信息!H:I,2,FALSE)</f>
        <v>18381904567</v>
      </c>
      <c r="L1823" s="122" t="str">
        <f>VLOOKUP(B1823,辅助信息!E:J,6,FALSE)</f>
        <v>控制炉批号！多了现场不收！,优先安排达钢,提前联系到场规格及数量</v>
      </c>
      <c r="M1823" s="91">
        <v>45822</v>
      </c>
      <c r="O1823" s="62">
        <f ca="1" t="shared" si="109"/>
        <v>0</v>
      </c>
      <c r="P1823" s="62">
        <f ca="1" t="shared" si="110"/>
        <v>138</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0" t="s">
        <v>163</v>
      </c>
      <c r="C1824" s="70">
        <v>45821</v>
      </c>
      <c r="D1824" s="120" t="str">
        <f>VLOOKUP(B1824,辅助信息!E:K,7,FALSE)</f>
        <v>JWDDCD2025052800131</v>
      </c>
      <c r="E1824" s="120" t="str">
        <f>VLOOKUP(F1824,辅助信息!A:B,2,FALSE)</f>
        <v>盘螺</v>
      </c>
      <c r="F1824" s="120" t="s">
        <v>40</v>
      </c>
      <c r="G1824" s="121">
        <v>18</v>
      </c>
      <c r="H1824" s="121" t="str">
        <f>_xlfn.XLOOKUP(C1824&amp;F1824&amp;I1824&amp;J1824,'[1]2025年已发货'!$F:$F&amp;'[1]2025年已发货'!$C:$C&amp;'[1]2025年已发货'!$G:$G&amp;'[1]2025年已发货'!$H:$H,'[1]2025年已发货'!$E:$E,"未发货")</f>
        <v>未发货</v>
      </c>
      <c r="I1824" s="120" t="str">
        <f>VLOOKUP(B1824,辅助信息!E:I,3,FALSE)</f>
        <v>（商投建工达州中医药科技园-4工区-9号楼）达州市通川区达州中医药职业学院犀牛大道北段</v>
      </c>
      <c r="J1824" s="120" t="str">
        <f>VLOOKUP(B1824,辅助信息!E:I,4,FALSE)</f>
        <v>张扬</v>
      </c>
      <c r="K1824" s="120">
        <f>VLOOKUP(J1824,辅助信息!H:I,2,FALSE)</f>
        <v>18381904567</v>
      </c>
      <c r="L1824" s="122" t="str">
        <f>VLOOKUP(B1824,辅助信息!E:J,6,FALSE)</f>
        <v>控制炉批号！多了现场不收！,优先安排达钢,提前联系到场规格及数量</v>
      </c>
      <c r="M1824" s="91">
        <v>45822</v>
      </c>
      <c r="O1824" s="62">
        <f ca="1" t="shared" si="109"/>
        <v>0</v>
      </c>
      <c r="P1824" s="62">
        <f ca="1" t="shared" si="110"/>
        <v>138</v>
      </c>
      <c r="Q1824" s="29" t="str">
        <f>VLOOKUP(B1824,辅助信息!E:M,9,FALSE)</f>
        <v>ZTWM-CDGS-XS-2024-0134-商投建工达州中医药科技成果示范园项目</v>
      </c>
    </row>
    <row r="1825" hidden="1" spans="2:17">
      <c r="B1825" s="120" t="s">
        <v>163</v>
      </c>
      <c r="C1825" s="70">
        <v>45821</v>
      </c>
      <c r="D1825" s="120" t="str">
        <f>VLOOKUP(B1825,辅助信息!E:K,7,FALSE)</f>
        <v>JWDDCD2025052800131</v>
      </c>
      <c r="E1825" s="120" t="str">
        <f>VLOOKUP(F1825,辅助信息!A:B,2,FALSE)</f>
        <v>螺纹钢</v>
      </c>
      <c r="F1825" s="120" t="s">
        <v>32</v>
      </c>
      <c r="G1825" s="121">
        <v>6</v>
      </c>
      <c r="H1825" s="121" t="str">
        <f>_xlfn.XLOOKUP(C1825&amp;F1825&amp;I1825&amp;J1825,'[1]2025年已发货'!$F:$F&amp;'[1]2025年已发货'!$C:$C&amp;'[1]2025年已发货'!$G:$G&amp;'[1]2025年已发货'!$H:$H,'[1]2025年已发货'!$E:$E,"未发货")</f>
        <v>未发货</v>
      </c>
      <c r="I1825" s="120" t="str">
        <f>VLOOKUP(B1825,辅助信息!E:I,3,FALSE)</f>
        <v>（商投建工达州中医药科技园-4工区-9号楼）达州市通川区达州中医药职业学院犀牛大道北段</v>
      </c>
      <c r="J1825" s="120" t="str">
        <f>VLOOKUP(B1825,辅助信息!E:I,4,FALSE)</f>
        <v>张扬</v>
      </c>
      <c r="K1825" s="120">
        <f>VLOOKUP(J1825,辅助信息!H:I,2,FALSE)</f>
        <v>18381904567</v>
      </c>
      <c r="L1825" s="122" t="str">
        <f>VLOOKUP(B1825,辅助信息!E:J,6,FALSE)</f>
        <v>控制炉批号！多了现场不收！,优先安排达钢,提前联系到场规格及数量</v>
      </c>
      <c r="M1825" s="91">
        <v>45822</v>
      </c>
      <c r="O1825" s="62">
        <f ca="1" t="shared" si="109"/>
        <v>0</v>
      </c>
      <c r="P1825" s="62">
        <f ca="1" t="shared" si="110"/>
        <v>138</v>
      </c>
      <c r="Q1825" s="29" t="str">
        <f>VLOOKUP(B1825,辅助信息!E:M,9,FALSE)</f>
        <v>ZTWM-CDGS-XS-2024-0134-商投建工达州中医药科技成果示范园项目</v>
      </c>
    </row>
    <row r="1826" hidden="1" spans="2:17">
      <c r="B1826" s="120" t="s">
        <v>163</v>
      </c>
      <c r="C1826" s="70">
        <v>45821</v>
      </c>
      <c r="D1826" s="120" t="str">
        <f>VLOOKUP(B1826,辅助信息!E:K,7,FALSE)</f>
        <v>JWDDCD2025052800131</v>
      </c>
      <c r="E1826" s="120" t="str">
        <f>VLOOKUP(F1826,辅助信息!A:B,2,FALSE)</f>
        <v>螺纹钢</v>
      </c>
      <c r="F1826" s="120" t="s">
        <v>30</v>
      </c>
      <c r="G1826" s="121">
        <v>6</v>
      </c>
      <c r="H1826" s="121" t="str">
        <f>_xlfn.XLOOKUP(C1826&amp;F1826&amp;I1826&amp;J1826,'[1]2025年已发货'!$F:$F&amp;'[1]2025年已发货'!$C:$C&amp;'[1]2025年已发货'!$G:$G&amp;'[1]2025年已发货'!$H:$H,'[1]2025年已发货'!$E:$E,"未发货")</f>
        <v>未发货</v>
      </c>
      <c r="I1826" s="120" t="str">
        <f>VLOOKUP(B1826,辅助信息!E:I,3,FALSE)</f>
        <v>（商投建工达州中医药科技园-4工区-9号楼）达州市通川区达州中医药职业学院犀牛大道北段</v>
      </c>
      <c r="J1826" s="120" t="str">
        <f>VLOOKUP(B1826,辅助信息!E:I,4,FALSE)</f>
        <v>张扬</v>
      </c>
      <c r="K1826" s="120">
        <f>VLOOKUP(J1826,辅助信息!H:I,2,FALSE)</f>
        <v>18381904567</v>
      </c>
      <c r="L1826" s="122" t="str">
        <f>VLOOKUP(B1826,辅助信息!E:J,6,FALSE)</f>
        <v>控制炉批号！多了现场不收！,优先安排达钢,提前联系到场规格及数量</v>
      </c>
      <c r="M1826" s="91">
        <v>45822</v>
      </c>
      <c r="O1826" s="62">
        <f ca="1" t="shared" si="109"/>
        <v>0</v>
      </c>
      <c r="P1826" s="62">
        <f ca="1" t="shared" si="110"/>
        <v>138</v>
      </c>
      <c r="Q1826" s="29" t="str">
        <f>VLOOKUP(B1826,辅助信息!E:M,9,FALSE)</f>
        <v>ZTWM-CDGS-XS-2024-0134-商投建工达州中医药科技成果示范园项目</v>
      </c>
    </row>
    <row r="1827" hidden="1" spans="1:17">
      <c r="A1827" s="128" t="s">
        <v>164</v>
      </c>
      <c r="B1827" s="120" t="s">
        <v>81</v>
      </c>
      <c r="C1827" s="70">
        <v>45821</v>
      </c>
      <c r="D1827" s="120" t="str">
        <f>VLOOKUP(B1827,辅助信息!E:K,7,FALSE)</f>
        <v>JWDDCD2025060900080</v>
      </c>
      <c r="E1827" s="120" t="str">
        <f>VLOOKUP(F1827,辅助信息!A:B,2,FALSE)</f>
        <v>盘螺</v>
      </c>
      <c r="F1827" s="120" t="s">
        <v>40</v>
      </c>
      <c r="G1827" s="121">
        <v>19</v>
      </c>
      <c r="H1827" s="121">
        <f>_xlfn.XLOOKUP(C1827&amp;F1827&amp;I1827&amp;J1827,'[1]2025年已发货'!$F:$F&amp;'[1]2025年已发货'!$C:$C&amp;'[1]2025年已发货'!$G:$G&amp;'[1]2025年已发货'!$H:$H,'[1]2025年已发货'!$E:$E,"未发货")</f>
        <v>20</v>
      </c>
      <c r="I1827" s="120" t="str">
        <f>VLOOKUP(B1827,辅助信息!E:I,3,FALSE)</f>
        <v>（华西简阳西城嘉苑）四川省成都市简阳市简城街道高屋村</v>
      </c>
      <c r="J1827" s="120" t="str">
        <f>VLOOKUP(B1827,辅助信息!E:I,4,FALSE)</f>
        <v>张瀚镭</v>
      </c>
      <c r="K1827" s="120">
        <f>VLOOKUP(J1827,辅助信息!H:I,2,FALSE)</f>
        <v>15884666220</v>
      </c>
      <c r="L1827" s="122" t="str">
        <f>VLOOKUP(B1827,辅助信息!E:J,6,FALSE)</f>
        <v>现场禁止使用氢能源挂车！优先威钢发货,我方卸车,新老国标钢厂不加价可直发，因陕钢多次出现磅差，项目拒绝使用</v>
      </c>
      <c r="M1827" s="91">
        <v>45822</v>
      </c>
      <c r="O1827" s="62">
        <f ca="1" t="shared" si="109"/>
        <v>0</v>
      </c>
      <c r="P1827" s="62">
        <f ca="1" t="shared" si="110"/>
        <v>138</v>
      </c>
      <c r="Q1827" s="29" t="str">
        <f>VLOOKUP(B1827,辅助信息!E:M,9,FALSE)</f>
        <v>ZTWM-CDGS-XS-2024-0030-华西集采-简州大道</v>
      </c>
    </row>
    <row r="1828" hidden="1" spans="1:17">
      <c r="A1828" s="128"/>
      <c r="B1828" s="120" t="s">
        <v>81</v>
      </c>
      <c r="C1828" s="70">
        <v>45821</v>
      </c>
      <c r="D1828" s="120" t="str">
        <f>VLOOKUP(B1828,辅助信息!E:K,7,FALSE)</f>
        <v>JWDDCD2025060900080</v>
      </c>
      <c r="E1828" s="120" t="str">
        <f>VLOOKUP(F1828,辅助信息!A:B,2,FALSE)</f>
        <v>盘螺</v>
      </c>
      <c r="F1828" s="120" t="s">
        <v>41</v>
      </c>
      <c r="G1828" s="121">
        <v>185</v>
      </c>
      <c r="H1828" s="121">
        <f>_xlfn.XLOOKUP(C1828&amp;F1828&amp;I1828&amp;J1828,'[1]2025年已发货'!$F:$F&amp;'[1]2025年已发货'!$C:$C&amp;'[1]2025年已发货'!$G:$G&amp;'[1]2025年已发货'!$H:$H,'[1]2025年已发货'!$E:$E,"未发货")</f>
        <v>140</v>
      </c>
      <c r="I1828" s="120" t="str">
        <f>VLOOKUP(B1828,辅助信息!E:I,3,FALSE)</f>
        <v>（华西简阳西城嘉苑）四川省成都市简阳市简城街道高屋村</v>
      </c>
      <c r="J1828" s="120" t="str">
        <f>VLOOKUP(B1828,辅助信息!E:I,4,FALSE)</f>
        <v>张瀚镭</v>
      </c>
      <c r="K1828" s="120">
        <f>VLOOKUP(J1828,辅助信息!H:I,2,FALSE)</f>
        <v>15884666220</v>
      </c>
      <c r="L1828" s="122" t="str">
        <f>VLOOKUP(B1828,辅助信息!E:J,6,FALSE)</f>
        <v>现场禁止使用氢能源挂车！优先威钢发货,我方卸车,新老国标钢厂不加价可直发，因陕钢多次出现磅差，项目拒绝使用</v>
      </c>
      <c r="M1828" s="91">
        <v>45822</v>
      </c>
      <c r="O1828" s="62">
        <f ca="1" t="shared" si="109"/>
        <v>0</v>
      </c>
      <c r="P1828" s="62">
        <f ca="1" t="shared" si="110"/>
        <v>138</v>
      </c>
      <c r="Q1828" s="29" t="str">
        <f>VLOOKUP(B1828,辅助信息!E:M,9,FALSE)</f>
        <v>ZTWM-CDGS-XS-2024-0030-华西集采-简州大道</v>
      </c>
    </row>
    <row r="1829" hidden="1" spans="1:17">
      <c r="A1829" s="128"/>
      <c r="B1829" s="120" t="s">
        <v>81</v>
      </c>
      <c r="C1829" s="70">
        <v>45821</v>
      </c>
      <c r="D1829" s="120" t="str">
        <f>VLOOKUP(B1829,辅助信息!E:K,7,FALSE)</f>
        <v>JWDDCD2025060900080</v>
      </c>
      <c r="E1829" s="120" t="str">
        <f>VLOOKUP(F1829,辅助信息!A:B,2,FALSE)</f>
        <v>盘螺</v>
      </c>
      <c r="F1829" s="120" t="s">
        <v>26</v>
      </c>
      <c r="G1829" s="121">
        <f>53-36</f>
        <v>17</v>
      </c>
      <c r="H1829" s="121" t="str">
        <f>_xlfn.XLOOKUP(C1829&amp;F1829&amp;I1829&amp;J1829,'[1]2025年已发货'!$F:$F&amp;'[1]2025年已发货'!$C:$C&amp;'[1]2025年已发货'!$G:$G&amp;'[1]2025年已发货'!$H:$H,'[1]2025年已发货'!$E:$E,"未发货")</f>
        <v>未发货</v>
      </c>
      <c r="I1829" s="120" t="str">
        <f>VLOOKUP(B1829,辅助信息!E:I,3,FALSE)</f>
        <v>（华西简阳西城嘉苑）四川省成都市简阳市简城街道高屋村</v>
      </c>
      <c r="J1829" s="120" t="str">
        <f>VLOOKUP(B1829,辅助信息!E:I,4,FALSE)</f>
        <v>张瀚镭</v>
      </c>
      <c r="K1829" s="120">
        <f>VLOOKUP(J1829,辅助信息!H:I,2,FALSE)</f>
        <v>15884666220</v>
      </c>
      <c r="L1829" s="122" t="str">
        <f>VLOOKUP(B1829,辅助信息!E:J,6,FALSE)</f>
        <v>现场禁止使用氢能源挂车！优先威钢发货,我方卸车,新老国标钢厂不加价可直发，因陕钢多次出现磅差，项目拒绝使用</v>
      </c>
      <c r="M1829" s="91">
        <v>45822</v>
      </c>
      <c r="O1829" s="62">
        <f ca="1" t="shared" si="109"/>
        <v>0</v>
      </c>
      <c r="P1829" s="62">
        <f ca="1" t="shared" si="110"/>
        <v>138</v>
      </c>
      <c r="Q1829" s="29" t="str">
        <f>VLOOKUP(B1829,辅助信息!E:M,9,FALSE)</f>
        <v>ZTWM-CDGS-XS-2024-0030-华西集采-简州大道</v>
      </c>
    </row>
    <row r="1830" hidden="1" spans="2:18">
      <c r="B1830" s="120" t="s">
        <v>162</v>
      </c>
      <c r="C1830" s="70">
        <v>45824</v>
      </c>
      <c r="D1830" s="120" t="str">
        <f>VLOOKUP(B1830,辅助信息!E:K,7,FALSE)</f>
        <v>JWDD2025071500089</v>
      </c>
      <c r="E1830" s="120" t="str">
        <f>VLOOKUP(F1830,辅助信息!A:B,2,FALSE)</f>
        <v>盘螺</v>
      </c>
      <c r="F1830" s="120" t="s">
        <v>41</v>
      </c>
      <c r="G1830" s="121">
        <v>10</v>
      </c>
      <c r="H1830" s="121" t="str">
        <f>_xlfn.XLOOKUP(C1830&amp;F1830&amp;I1830&amp;J1830,'[1]2025年已发货'!$F:$F&amp;'[1]2025年已发货'!$C:$C&amp;'[1]2025年已发货'!$G:$G&amp;'[1]2025年已发货'!$H:$H,'[1]2025年已发货'!$E:$E,"未发货")</f>
        <v>未发货</v>
      </c>
      <c r="I1830" s="120" t="str">
        <f>VLOOKUP(B1830,辅助信息!E:I,3,FALSE)</f>
        <v>(宜宾兴港三江新区长江工业园保障性租赁住房建设项目-2标)四川省宜宾市翠屏区永善路南段宜宾市三江新区长江工业园区</v>
      </c>
      <c r="J1830" s="120" t="str">
        <f>VLOOKUP(B1830,辅助信息!E:I,4,FALSE)</f>
        <v>赵元虎</v>
      </c>
      <c r="K1830" s="120">
        <f>VLOOKUP(J1830,辅助信息!H:I,2,FALSE)</f>
        <v>13684167136</v>
      </c>
      <c r="L1830" s="122" t="str">
        <f>VLOOKUP(B1830,辅助信息!E:J,6,FALSE)</f>
        <v>现场要求调度统一联系指定收货人，不单独发司机位置。锈货不收，装货前联系收货人核实到场规格,没提前告知进场规格现场不给予接收</v>
      </c>
      <c r="M1830" s="91">
        <v>45819</v>
      </c>
      <c r="O1830" s="62">
        <f ca="1" t="shared" si="109"/>
        <v>0</v>
      </c>
      <c r="P1830" s="62">
        <f ca="1" t="shared" si="110"/>
        <v>141</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0" t="s">
        <v>162</v>
      </c>
      <c r="C1831" s="70">
        <v>45824</v>
      </c>
      <c r="D1831" s="120" t="str">
        <f>VLOOKUP(B1831,辅助信息!E:K,7,FALSE)</f>
        <v>JWDD2025071500089</v>
      </c>
      <c r="E1831" s="120" t="str">
        <f>VLOOKUP(F1831,辅助信息!A:B,2,FALSE)</f>
        <v>螺纹钢</v>
      </c>
      <c r="F1831" s="120" t="s">
        <v>30</v>
      </c>
      <c r="G1831" s="121">
        <v>70</v>
      </c>
      <c r="H1831" s="121" t="str">
        <f>_xlfn.XLOOKUP(C1831&amp;F1831&amp;I1831&amp;J1831,'[1]2025年已发货'!$F:$F&amp;'[1]2025年已发货'!$C:$C&amp;'[1]2025年已发货'!$G:$G&amp;'[1]2025年已发货'!$H:$H,'[1]2025年已发货'!$E:$E,"未发货")</f>
        <v>未发货</v>
      </c>
      <c r="I1831" s="120" t="str">
        <f>VLOOKUP(B1831,辅助信息!E:I,3,FALSE)</f>
        <v>(宜宾兴港三江新区长江工业园保障性租赁住房建设项目-2标)四川省宜宾市翠屏区永善路南段宜宾市三江新区长江工业园区</v>
      </c>
      <c r="J1831" s="120" t="str">
        <f>VLOOKUP(B1831,辅助信息!E:I,4,FALSE)</f>
        <v>赵元虎</v>
      </c>
      <c r="K1831" s="120">
        <f>VLOOKUP(J1831,辅助信息!H:I,2,FALSE)</f>
        <v>13684167136</v>
      </c>
      <c r="L1831" s="122" t="str">
        <f>VLOOKUP(B1831,辅助信息!E:J,6,FALSE)</f>
        <v>现场要求调度统一联系指定收货人，不单独发司机位置。锈货不收，装货前联系收货人核实到场规格,没提前告知进场规格现场不给予接收</v>
      </c>
      <c r="M1831" s="91">
        <v>45819</v>
      </c>
      <c r="O1831" s="62">
        <f ca="1" t="shared" si="109"/>
        <v>0</v>
      </c>
      <c r="P1831" s="62">
        <f ca="1" t="shared" si="110"/>
        <v>141</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29"/>
      <c r="B1832" s="120" t="s">
        <v>81</v>
      </c>
      <c r="C1832" s="70">
        <v>45824</v>
      </c>
      <c r="D1832" s="120" t="str">
        <f>VLOOKUP(B1832,辅助信息!E:K,7,FALSE)</f>
        <v>JWDDCD2025060900080</v>
      </c>
      <c r="E1832" s="120" t="str">
        <f>VLOOKUP(F1832,辅助信息!A:B,2,FALSE)</f>
        <v>盘螺</v>
      </c>
      <c r="F1832" s="120" t="s">
        <v>41</v>
      </c>
      <c r="G1832" s="121">
        <v>53</v>
      </c>
      <c r="H1832" s="121">
        <f>_xlfn.XLOOKUP(C1832&amp;F1832&amp;I1832&amp;J1832,'[1]2025年已发货'!$F:$F&amp;'[1]2025年已发货'!$C:$C&amp;'[1]2025年已发货'!$G:$G&amp;'[1]2025年已发货'!$H:$H,'[1]2025年已发货'!$E:$E,"未发货")</f>
        <v>52.5</v>
      </c>
      <c r="I1832" s="120" t="str">
        <f>VLOOKUP(B1832,辅助信息!E:I,3,FALSE)</f>
        <v>（华西简阳西城嘉苑）四川省成都市简阳市简城街道高屋村</v>
      </c>
      <c r="J1832" s="120" t="str">
        <f>VLOOKUP(B1832,辅助信息!E:I,4,FALSE)</f>
        <v>张瀚镭</v>
      </c>
      <c r="K1832" s="120">
        <f>VLOOKUP(J1832,辅助信息!H:I,2,FALSE)</f>
        <v>15884666220</v>
      </c>
      <c r="L1832" s="122" t="str">
        <f>VLOOKUP(B1832,辅助信息!E:J,6,FALSE)</f>
        <v>现场禁止使用氢能源挂车！优先威钢发货,我方卸车,新老国标钢厂不加价可直发，因陕钢多次出现磅差，项目拒绝使用</v>
      </c>
      <c r="M1832" s="91">
        <v>45822</v>
      </c>
      <c r="O1832" s="62">
        <f ca="1" t="shared" si="109"/>
        <v>0</v>
      </c>
      <c r="P1832" s="62">
        <f ca="1" t="shared" si="110"/>
        <v>138</v>
      </c>
      <c r="Q1832" s="29" t="str">
        <f>VLOOKUP(B1832,辅助信息!E:M,9,FALSE)</f>
        <v>ZTWM-CDGS-XS-2024-0030-华西集采-简州大道</v>
      </c>
      <c r="R1832" s="29" t="str">
        <f>_xlfn._xlws.FILTER(辅助信息!D:D,辅助信息!E:E=B1832)</f>
        <v>华西简阳西城嘉苑</v>
      </c>
    </row>
    <row r="1833" hidden="1" spans="1:18">
      <c r="A1833" s="129"/>
      <c r="B1833" s="120" t="s">
        <v>81</v>
      </c>
      <c r="C1833" s="70">
        <v>45824</v>
      </c>
      <c r="D1833" s="120" t="str">
        <f>VLOOKUP(B1833,辅助信息!E:K,7,FALSE)</f>
        <v>JWDDCD2025060900080</v>
      </c>
      <c r="E1833" s="120" t="str">
        <f>VLOOKUP(F1833,辅助信息!A:B,2,FALSE)</f>
        <v>盘螺</v>
      </c>
      <c r="F1833" s="120" t="s">
        <v>26</v>
      </c>
      <c r="G1833" s="121">
        <f>53-36</f>
        <v>17</v>
      </c>
      <c r="H1833" s="121">
        <f>_xlfn.XLOOKUP(C1833&amp;F1833&amp;I1833&amp;J1833,'[1]2025年已发货'!$F:$F&amp;'[1]2025年已发货'!$C:$C&amp;'[1]2025年已发货'!$G:$G&amp;'[1]2025年已发货'!$H:$H,'[1]2025年已发货'!$E:$E,"未发货")</f>
        <v>17.5</v>
      </c>
      <c r="I1833" s="120" t="str">
        <f>VLOOKUP(B1833,辅助信息!E:I,3,FALSE)</f>
        <v>（华西简阳西城嘉苑）四川省成都市简阳市简城街道高屋村</v>
      </c>
      <c r="J1833" s="120" t="str">
        <f>VLOOKUP(B1833,辅助信息!E:I,4,FALSE)</f>
        <v>张瀚镭</v>
      </c>
      <c r="K1833" s="120">
        <f>VLOOKUP(J1833,辅助信息!H:I,2,FALSE)</f>
        <v>15884666220</v>
      </c>
      <c r="L1833" s="122" t="str">
        <f>VLOOKUP(B1833,辅助信息!E:J,6,FALSE)</f>
        <v>现场禁止使用氢能源挂车！优先威钢发货,我方卸车,新老国标钢厂不加价可直发，因陕钢多次出现磅差，项目拒绝使用</v>
      </c>
      <c r="M1833" s="91">
        <v>45822</v>
      </c>
      <c r="O1833" s="62">
        <f ca="1" t="shared" si="109"/>
        <v>0</v>
      </c>
      <c r="P1833" s="62">
        <f ca="1" t="shared" si="110"/>
        <v>138</v>
      </c>
      <c r="Q1833" s="29" t="str">
        <f>VLOOKUP(B1833,辅助信息!E:M,9,FALSE)</f>
        <v>ZTWM-CDGS-XS-2024-0030-华西集采-简州大道</v>
      </c>
      <c r="R1833" s="29" t="str">
        <f>_xlfn._xlws.FILTER(辅助信息!D:D,辅助信息!E:E=B1833)</f>
        <v>华西简阳西城嘉苑</v>
      </c>
    </row>
    <row r="1834" hidden="1" spans="1:18">
      <c r="A1834" s="82" t="s">
        <v>166</v>
      </c>
      <c r="B1834" s="40" t="s">
        <v>167</v>
      </c>
      <c r="C1834" s="70">
        <v>45824</v>
      </c>
      <c r="D1834" s="120" t="str">
        <f>VLOOKUP(B1834,辅助信息!E:K,7,FALSE)</f>
        <v>JWDDCD2025102100473</v>
      </c>
      <c r="E1834" s="120" t="str">
        <f>VLOOKUP(F1834,辅助信息!A:B,2,FALSE)</f>
        <v>盘螺</v>
      </c>
      <c r="F1834" s="40" t="s">
        <v>40</v>
      </c>
      <c r="G1834" s="36">
        <v>5</v>
      </c>
      <c r="H1834" s="121" t="str">
        <f>_xlfn.XLOOKUP(C1834&amp;F1834&amp;I1834&amp;J1834,'[1]2025年已发货'!$F:$F&amp;'[1]2025年已发货'!$C:$C&amp;'[1]2025年已发货'!$G:$G&amp;'[1]2025年已发货'!$H:$H,'[1]2025年已发货'!$E:$E,"未发货")</f>
        <v>未发货</v>
      </c>
      <c r="I1834" s="120" t="str">
        <f>VLOOKUP(B1834,辅助信息!E:I,3,FALSE)</f>
        <v>(五冶建设扩建艺体中学二期工程)四川省成都市双流区光荣路成都艺体中学南200米</v>
      </c>
      <c r="J1834" s="120" t="str">
        <f>VLOOKUP(B1834,辅助信息!E:I,4,FALSE)</f>
        <v>谢序强</v>
      </c>
      <c r="K1834" s="120">
        <f>VLOOKUP(J1834,辅助信息!H:I,2,FALSE)</f>
        <v>13458588232</v>
      </c>
      <c r="L1834" s="122"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1">
        <v>45828</v>
      </c>
      <c r="O1834" s="62">
        <f ca="1" t="shared" ref="O1834:O1855" si="111">IF(OR(M1834="",N1834&lt;&gt;""),"",MAX(M1834-TODAY(),0))</f>
        <v>0</v>
      </c>
      <c r="P1834" s="62">
        <f ca="1" t="shared" ref="P1834:P1855" si="112">IF(M1834="","",IF(N1834&lt;&gt;"",MAX(N1834-M1834,0),IF(TODAY()&gt;M1834,TODAY()-M1834,0)))</f>
        <v>132</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2"/>
      <c r="B1835" s="40" t="s">
        <v>167</v>
      </c>
      <c r="C1835" s="70">
        <v>45824</v>
      </c>
      <c r="D1835" s="120" t="str">
        <f>VLOOKUP(B1835,辅助信息!E:K,7,FALSE)</f>
        <v>JWDDCD2025102100473</v>
      </c>
      <c r="E1835" s="120" t="str">
        <f>VLOOKUP(F1835,辅助信息!A:B,2,FALSE)</f>
        <v>盘螺</v>
      </c>
      <c r="F1835" s="40" t="s">
        <v>41</v>
      </c>
      <c r="G1835" s="36">
        <v>5</v>
      </c>
      <c r="H1835" s="121" t="str">
        <f>_xlfn.XLOOKUP(C1835&amp;F1835&amp;I1835&amp;J1835,'[1]2025年已发货'!$F:$F&amp;'[1]2025年已发货'!$C:$C&amp;'[1]2025年已发货'!$G:$G&amp;'[1]2025年已发货'!$H:$H,'[1]2025年已发货'!$E:$E,"未发货")</f>
        <v>未发货</v>
      </c>
      <c r="I1835" s="120" t="str">
        <f>VLOOKUP(B1835,辅助信息!E:I,3,FALSE)</f>
        <v>(五冶建设扩建艺体中学二期工程)四川省成都市双流区光荣路成都艺体中学南200米</v>
      </c>
      <c r="J1835" s="120" t="str">
        <f>VLOOKUP(B1835,辅助信息!E:I,4,FALSE)</f>
        <v>谢序强</v>
      </c>
      <c r="K1835" s="120">
        <f>VLOOKUP(J1835,辅助信息!H:I,2,FALSE)</f>
        <v>13458588232</v>
      </c>
      <c r="L1835" s="122"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1">
        <v>45828</v>
      </c>
      <c r="O1835" s="62">
        <f ca="1" t="shared" si="111"/>
        <v>0</v>
      </c>
      <c r="P1835" s="62">
        <f ca="1" t="shared" si="112"/>
        <v>132</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2"/>
      <c r="B1836" s="40" t="s">
        <v>167</v>
      </c>
      <c r="C1836" s="70">
        <v>45824</v>
      </c>
      <c r="D1836" s="120" t="str">
        <f>VLOOKUP(B1836,辅助信息!E:K,7,FALSE)</f>
        <v>JWDDCD2025102100473</v>
      </c>
      <c r="E1836" s="120" t="str">
        <f>VLOOKUP(F1836,辅助信息!A:B,2,FALSE)</f>
        <v>螺纹钢</v>
      </c>
      <c r="F1836" s="40" t="s">
        <v>27</v>
      </c>
      <c r="G1836" s="36">
        <v>6</v>
      </c>
      <c r="H1836" s="121" t="str">
        <f>_xlfn.XLOOKUP(C1836&amp;F1836&amp;I1836&amp;J1836,'[1]2025年已发货'!$F:$F&amp;'[1]2025年已发货'!$C:$C&amp;'[1]2025年已发货'!$G:$G&amp;'[1]2025年已发货'!$H:$H,'[1]2025年已发货'!$E:$E,"未发货")</f>
        <v>未发货</v>
      </c>
      <c r="I1836" s="120" t="str">
        <f>VLOOKUP(B1836,辅助信息!E:I,3,FALSE)</f>
        <v>(五冶建设扩建艺体中学二期工程)四川省成都市双流区光荣路成都艺体中学南200米</v>
      </c>
      <c r="J1836" s="120" t="str">
        <f>VLOOKUP(B1836,辅助信息!E:I,4,FALSE)</f>
        <v>谢序强</v>
      </c>
      <c r="K1836" s="120">
        <f>VLOOKUP(J1836,辅助信息!H:I,2,FALSE)</f>
        <v>13458588232</v>
      </c>
      <c r="L1836" s="122"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1">
        <v>45828</v>
      </c>
      <c r="O1836" s="62">
        <f ca="1" t="shared" si="111"/>
        <v>0</v>
      </c>
      <c r="P1836" s="62">
        <f ca="1" t="shared" si="112"/>
        <v>132</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2"/>
      <c r="B1837" s="40" t="s">
        <v>167</v>
      </c>
      <c r="C1837" s="70">
        <v>45824</v>
      </c>
      <c r="D1837" s="120" t="str">
        <f>VLOOKUP(B1837,辅助信息!E:K,7,FALSE)</f>
        <v>JWDDCD2025102100473</v>
      </c>
      <c r="E1837" s="120" t="str">
        <f>VLOOKUP(F1837,辅助信息!A:B,2,FALSE)</f>
        <v>螺纹钢</v>
      </c>
      <c r="F1837" s="40" t="s">
        <v>19</v>
      </c>
      <c r="G1837" s="36">
        <v>6</v>
      </c>
      <c r="H1837" s="121" t="str">
        <f>_xlfn.XLOOKUP(C1837&amp;F1837&amp;I1837&amp;J1837,'[1]2025年已发货'!$F:$F&amp;'[1]2025年已发货'!$C:$C&amp;'[1]2025年已发货'!$G:$G&amp;'[1]2025年已发货'!$H:$H,'[1]2025年已发货'!$E:$E,"未发货")</f>
        <v>未发货</v>
      </c>
      <c r="I1837" s="120" t="str">
        <f>VLOOKUP(B1837,辅助信息!E:I,3,FALSE)</f>
        <v>(五冶建设扩建艺体中学二期工程)四川省成都市双流区光荣路成都艺体中学南200米</v>
      </c>
      <c r="J1837" s="120" t="str">
        <f>VLOOKUP(B1837,辅助信息!E:I,4,FALSE)</f>
        <v>谢序强</v>
      </c>
      <c r="K1837" s="120">
        <f>VLOOKUP(J1837,辅助信息!H:I,2,FALSE)</f>
        <v>13458588232</v>
      </c>
      <c r="L1837" s="122"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1">
        <v>45828</v>
      </c>
      <c r="O1837" s="62">
        <f ca="1" t="shared" si="111"/>
        <v>0</v>
      </c>
      <c r="P1837" s="62">
        <f ca="1" t="shared" si="112"/>
        <v>132</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2"/>
      <c r="B1838" s="40" t="s">
        <v>167</v>
      </c>
      <c r="C1838" s="70">
        <v>45824</v>
      </c>
      <c r="D1838" s="120" t="str">
        <f>VLOOKUP(B1838,辅助信息!E:K,7,FALSE)</f>
        <v>JWDDCD2025102100473</v>
      </c>
      <c r="E1838" s="120" t="str">
        <f>VLOOKUP(F1838,辅助信息!A:B,2,FALSE)</f>
        <v>螺纹钢</v>
      </c>
      <c r="F1838" s="40" t="s">
        <v>32</v>
      </c>
      <c r="G1838" s="36">
        <v>6</v>
      </c>
      <c r="H1838" s="121" t="str">
        <f>_xlfn.XLOOKUP(C1838&amp;F1838&amp;I1838&amp;J1838,'[1]2025年已发货'!$F:$F&amp;'[1]2025年已发货'!$C:$C&amp;'[1]2025年已发货'!$G:$G&amp;'[1]2025年已发货'!$H:$H,'[1]2025年已发货'!$E:$E,"未发货")</f>
        <v>未发货</v>
      </c>
      <c r="I1838" s="120" t="str">
        <f>VLOOKUP(B1838,辅助信息!E:I,3,FALSE)</f>
        <v>(五冶建设扩建艺体中学二期工程)四川省成都市双流区光荣路成都艺体中学南200米</v>
      </c>
      <c r="J1838" s="120" t="str">
        <f>VLOOKUP(B1838,辅助信息!E:I,4,FALSE)</f>
        <v>谢序强</v>
      </c>
      <c r="K1838" s="120">
        <f>VLOOKUP(J1838,辅助信息!H:I,2,FALSE)</f>
        <v>13458588232</v>
      </c>
      <c r="L1838" s="122"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1">
        <v>45828</v>
      </c>
      <c r="O1838" s="62">
        <f ca="1" t="shared" si="111"/>
        <v>0</v>
      </c>
      <c r="P1838" s="62">
        <f ca="1" t="shared" si="112"/>
        <v>132</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2"/>
      <c r="B1839" s="40" t="s">
        <v>167</v>
      </c>
      <c r="C1839" s="70">
        <v>45824</v>
      </c>
      <c r="D1839" s="120" t="str">
        <f>VLOOKUP(B1839,辅助信息!E:K,7,FALSE)</f>
        <v>JWDDCD2025102100473</v>
      </c>
      <c r="E1839" s="120" t="str">
        <f>VLOOKUP(F1839,辅助信息!A:B,2,FALSE)</f>
        <v>螺纹钢</v>
      </c>
      <c r="F1839" s="40" t="s">
        <v>30</v>
      </c>
      <c r="G1839" s="36">
        <v>6</v>
      </c>
      <c r="H1839" s="121" t="str">
        <f>_xlfn.XLOOKUP(C1839&amp;F1839&amp;I1839&amp;J1839,'[1]2025年已发货'!$F:$F&amp;'[1]2025年已发货'!$C:$C&amp;'[1]2025年已发货'!$G:$G&amp;'[1]2025年已发货'!$H:$H,'[1]2025年已发货'!$E:$E,"未发货")</f>
        <v>未发货</v>
      </c>
      <c r="I1839" s="120" t="str">
        <f>VLOOKUP(B1839,辅助信息!E:I,3,FALSE)</f>
        <v>(五冶建设扩建艺体中学二期工程)四川省成都市双流区光荣路成都艺体中学南200米</v>
      </c>
      <c r="J1839" s="120" t="str">
        <f>VLOOKUP(B1839,辅助信息!E:I,4,FALSE)</f>
        <v>谢序强</v>
      </c>
      <c r="K1839" s="120">
        <f>VLOOKUP(J1839,辅助信息!H:I,2,FALSE)</f>
        <v>13458588232</v>
      </c>
      <c r="L1839" s="122"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1">
        <v>45828</v>
      </c>
      <c r="O1839" s="62">
        <f ca="1" t="shared" si="111"/>
        <v>0</v>
      </c>
      <c r="P1839" s="62">
        <f ca="1" t="shared" si="112"/>
        <v>132</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2"/>
      <c r="B1840" s="40" t="s">
        <v>167</v>
      </c>
      <c r="C1840" s="70">
        <v>45824</v>
      </c>
      <c r="D1840" s="120" t="str">
        <f>VLOOKUP(B1840,辅助信息!E:K,7,FALSE)</f>
        <v>JWDDCD2025102100473</v>
      </c>
      <c r="E1840" s="120" t="str">
        <f>VLOOKUP(F1840,辅助信息!A:B,2,FALSE)</f>
        <v>螺纹钢</v>
      </c>
      <c r="F1840" s="40" t="s">
        <v>33</v>
      </c>
      <c r="G1840" s="36">
        <v>6</v>
      </c>
      <c r="H1840" s="121" t="str">
        <f>_xlfn.XLOOKUP(C1840&amp;F1840&amp;I1840&amp;J1840,'[1]2025年已发货'!$F:$F&amp;'[1]2025年已发货'!$C:$C&amp;'[1]2025年已发货'!$G:$G&amp;'[1]2025年已发货'!$H:$H,'[1]2025年已发货'!$E:$E,"未发货")</f>
        <v>未发货</v>
      </c>
      <c r="I1840" s="120" t="str">
        <f>VLOOKUP(B1840,辅助信息!E:I,3,FALSE)</f>
        <v>(五冶建设扩建艺体中学二期工程)四川省成都市双流区光荣路成都艺体中学南200米</v>
      </c>
      <c r="J1840" s="120" t="str">
        <f>VLOOKUP(B1840,辅助信息!E:I,4,FALSE)</f>
        <v>谢序强</v>
      </c>
      <c r="K1840" s="120">
        <f>VLOOKUP(J1840,辅助信息!H:I,2,FALSE)</f>
        <v>13458588232</v>
      </c>
      <c r="L1840" s="122"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1">
        <v>45828</v>
      </c>
      <c r="O1840" s="62">
        <f ca="1" t="shared" si="111"/>
        <v>0</v>
      </c>
      <c r="P1840" s="62">
        <f ca="1" t="shared" si="112"/>
        <v>132</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2"/>
      <c r="B1841" s="40" t="s">
        <v>167</v>
      </c>
      <c r="C1841" s="70">
        <v>45824</v>
      </c>
      <c r="D1841" s="120" t="str">
        <f>VLOOKUP(B1841,辅助信息!E:K,7,FALSE)</f>
        <v>JWDDCD2025102100473</v>
      </c>
      <c r="E1841" s="120" t="str">
        <f>VLOOKUP(F1841,辅助信息!A:B,2,FALSE)</f>
        <v>螺纹钢</v>
      </c>
      <c r="F1841" s="40" t="s">
        <v>28</v>
      </c>
      <c r="G1841" s="36">
        <v>6</v>
      </c>
      <c r="H1841" s="121" t="str">
        <f>_xlfn.XLOOKUP(C1841&amp;F1841&amp;I1841&amp;J1841,'[1]2025年已发货'!$F:$F&amp;'[1]2025年已发货'!$C:$C&amp;'[1]2025年已发货'!$G:$G&amp;'[1]2025年已发货'!$H:$H,'[1]2025年已发货'!$E:$E,"未发货")</f>
        <v>未发货</v>
      </c>
      <c r="I1841" s="120" t="str">
        <f>VLOOKUP(B1841,辅助信息!E:I,3,FALSE)</f>
        <v>(五冶建设扩建艺体中学二期工程)四川省成都市双流区光荣路成都艺体中学南200米</v>
      </c>
      <c r="J1841" s="120" t="str">
        <f>VLOOKUP(B1841,辅助信息!E:I,4,FALSE)</f>
        <v>谢序强</v>
      </c>
      <c r="K1841" s="120">
        <f>VLOOKUP(J1841,辅助信息!H:I,2,FALSE)</f>
        <v>13458588232</v>
      </c>
      <c r="L1841" s="122"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1">
        <v>45828</v>
      </c>
      <c r="O1841" s="62">
        <f ca="1" t="shared" si="111"/>
        <v>0</v>
      </c>
      <c r="P1841" s="62">
        <f ca="1" t="shared" si="112"/>
        <v>132</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2"/>
      <c r="B1842" s="40" t="s">
        <v>167</v>
      </c>
      <c r="C1842" s="70">
        <v>45824</v>
      </c>
      <c r="D1842" s="120" t="str">
        <f>VLOOKUP(B1842,辅助信息!E:K,7,FALSE)</f>
        <v>JWDDCD2025102100473</v>
      </c>
      <c r="E1842" s="120" t="str">
        <f>VLOOKUP(F1842,辅助信息!A:B,2,FALSE)</f>
        <v>螺纹钢</v>
      </c>
      <c r="F1842" s="40" t="s">
        <v>18</v>
      </c>
      <c r="G1842" s="36">
        <v>23</v>
      </c>
      <c r="H1842" s="121" t="str">
        <f>_xlfn.XLOOKUP(C1842&amp;F1842&amp;I1842&amp;J1842,'[1]2025年已发货'!$F:$F&amp;'[1]2025年已发货'!$C:$C&amp;'[1]2025年已发货'!$G:$G&amp;'[1]2025年已发货'!$H:$H,'[1]2025年已发货'!$E:$E,"未发货")</f>
        <v>未发货</v>
      </c>
      <c r="I1842" s="120" t="str">
        <f>VLOOKUP(B1842,辅助信息!E:I,3,FALSE)</f>
        <v>(五冶建设扩建艺体中学二期工程)四川省成都市双流区光荣路成都艺体中学南200米</v>
      </c>
      <c r="J1842" s="120" t="str">
        <f>VLOOKUP(B1842,辅助信息!E:I,4,FALSE)</f>
        <v>谢序强</v>
      </c>
      <c r="K1842" s="120">
        <f>VLOOKUP(J1842,辅助信息!H:I,2,FALSE)</f>
        <v>13458588232</v>
      </c>
      <c r="L1842" s="122"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1">
        <v>45828</v>
      </c>
      <c r="O1842" s="62">
        <f ca="1" t="shared" si="111"/>
        <v>0</v>
      </c>
      <c r="P1842" s="62">
        <f ca="1" t="shared" si="112"/>
        <v>132</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2" t="s">
        <v>168</v>
      </c>
      <c r="B1843" s="40" t="s">
        <v>169</v>
      </c>
      <c r="C1843" s="70">
        <v>45824</v>
      </c>
      <c r="D1843" s="120" t="str">
        <f>VLOOKUP(B1843,辅助信息!E:K,7,FALSE)</f>
        <v>JWDDCD2025051800044</v>
      </c>
      <c r="E1843" s="120" t="str">
        <f>VLOOKUP(F1843,辅助信息!A:B,2,FALSE)</f>
        <v>高线</v>
      </c>
      <c r="F1843" s="40" t="s">
        <v>51</v>
      </c>
      <c r="G1843" s="36">
        <v>35</v>
      </c>
      <c r="H1843" s="121" t="str">
        <f>_xlfn.XLOOKUP(C1843&amp;F1843&amp;I1843&amp;J1843,'[1]2025年已发货'!$F:$F&amp;'[1]2025年已发货'!$C:$C&amp;'[1]2025年已发货'!$G:$G&amp;'[1]2025年已发货'!$H:$H,'[1]2025年已发货'!$E:$E,"未发货")</f>
        <v>未发货</v>
      </c>
      <c r="I1843" s="120" t="str">
        <f>VLOOKUP(B1843,辅助信息!E:I,3,FALSE)</f>
        <v>(五冶建设龙泉芙蓉花语项目-1,3地块)龙泉驿区北川路双堰塘钓鱼东100米(北川路)</v>
      </c>
      <c r="J1843" s="120" t="str">
        <f>VLOOKUP(B1843,辅助信息!E:I,4,FALSE)</f>
        <v>祝斯阳</v>
      </c>
      <c r="K1843" s="120">
        <f>VLOOKUP(J1843,辅助信息!H:I,2,FALSE)</f>
        <v>15583590797</v>
      </c>
      <c r="L1843" s="122"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1">
        <v>45828</v>
      </c>
      <c r="O1843" s="62">
        <f ca="1" t="shared" si="111"/>
        <v>0</v>
      </c>
      <c r="P1843" s="62">
        <f ca="1" t="shared" si="112"/>
        <v>132</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2"/>
      <c r="B1844" s="40" t="s">
        <v>169</v>
      </c>
      <c r="C1844" s="70">
        <v>45824</v>
      </c>
      <c r="D1844" s="120" t="str">
        <f>VLOOKUP(B1844,辅助信息!E:K,7,FALSE)</f>
        <v>JWDDCD2025051800044</v>
      </c>
      <c r="E1844" s="120" t="str">
        <f>VLOOKUP(F1844,辅助信息!A:B,2,FALSE)</f>
        <v>螺纹钢</v>
      </c>
      <c r="F1844" s="40" t="s">
        <v>28</v>
      </c>
      <c r="G1844" s="36">
        <v>70</v>
      </c>
      <c r="H1844" s="121" t="str">
        <f>_xlfn.XLOOKUP(C1844&amp;F1844&amp;I1844&amp;J1844,'[1]2025年已发货'!$F:$F&amp;'[1]2025年已发货'!$C:$C&amp;'[1]2025年已发货'!$G:$G&amp;'[1]2025年已发货'!$H:$H,'[1]2025年已发货'!$E:$E,"未发货")</f>
        <v>未发货</v>
      </c>
      <c r="I1844" s="120" t="str">
        <f>VLOOKUP(B1844,辅助信息!E:I,3,FALSE)</f>
        <v>(五冶建设龙泉芙蓉花语项目-1,3地块)龙泉驿区北川路双堰塘钓鱼东100米(北川路)</v>
      </c>
      <c r="J1844" s="120" t="str">
        <f>VLOOKUP(B1844,辅助信息!E:I,4,FALSE)</f>
        <v>祝斯阳</v>
      </c>
      <c r="K1844" s="120">
        <f>VLOOKUP(J1844,辅助信息!H:I,2,FALSE)</f>
        <v>15583590797</v>
      </c>
      <c r="L1844" s="122"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1">
        <v>45828</v>
      </c>
      <c r="O1844" s="62">
        <f ca="1" t="shared" si="111"/>
        <v>0</v>
      </c>
      <c r="P1844" s="62">
        <f ca="1" t="shared" si="112"/>
        <v>132</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0" t="s">
        <v>162</v>
      </c>
      <c r="C1845" s="70">
        <v>45825</v>
      </c>
      <c r="D1845" s="120" t="str">
        <f>VLOOKUP(B1845,辅助信息!E:K,7,FALSE)</f>
        <v>JWDD2025071500089</v>
      </c>
      <c r="E1845" s="120" t="str">
        <f>VLOOKUP(F1845,辅助信息!A:B,2,FALSE)</f>
        <v>盘螺</v>
      </c>
      <c r="F1845" s="120" t="s">
        <v>41</v>
      </c>
      <c r="G1845" s="121">
        <v>10</v>
      </c>
      <c r="H1845" s="130" t="s">
        <v>170</v>
      </c>
      <c r="I1845" s="120" t="str">
        <f>VLOOKUP(B1845,辅助信息!E:I,3,FALSE)</f>
        <v>(宜宾兴港三江新区长江工业园保障性租赁住房建设项目-2标)四川省宜宾市翠屏区永善路南段宜宾市三江新区长江工业园区</v>
      </c>
      <c r="J1845" s="120" t="str">
        <f>VLOOKUP(B1845,辅助信息!E:I,4,FALSE)</f>
        <v>赵元虎</v>
      </c>
      <c r="K1845" s="120">
        <f>VLOOKUP(J1845,辅助信息!H:I,2,FALSE)</f>
        <v>13684167136</v>
      </c>
      <c r="L1845" s="122" t="str">
        <f>VLOOKUP(B1845,辅助信息!E:J,6,FALSE)</f>
        <v>现场要求调度统一联系指定收货人，不单独发司机位置。锈货不收，装货前联系收货人核实到场规格,没提前告知进场规格现场不给予接收</v>
      </c>
      <c r="M1845" s="91">
        <v>45819</v>
      </c>
      <c r="O1845" s="62">
        <f ca="1" t="shared" si="111"/>
        <v>0</v>
      </c>
      <c r="P1845" s="62">
        <f ca="1" t="shared" si="112"/>
        <v>141</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0" t="s">
        <v>162</v>
      </c>
      <c r="C1846" s="70">
        <v>45825</v>
      </c>
      <c r="D1846" s="120" t="str">
        <f>VLOOKUP(B1846,辅助信息!E:K,7,FALSE)</f>
        <v>JWDD2025071500089</v>
      </c>
      <c r="E1846" s="120" t="str">
        <f>VLOOKUP(F1846,辅助信息!A:B,2,FALSE)</f>
        <v>螺纹钢</v>
      </c>
      <c r="F1846" s="120" t="s">
        <v>30</v>
      </c>
      <c r="G1846" s="121">
        <v>25</v>
      </c>
      <c r="H1846" s="130" t="s">
        <v>170</v>
      </c>
      <c r="I1846" s="120" t="str">
        <f>VLOOKUP(B1846,辅助信息!E:I,3,FALSE)</f>
        <v>(宜宾兴港三江新区长江工业园保障性租赁住房建设项目-2标)四川省宜宾市翠屏区永善路南段宜宾市三江新区长江工业园区</v>
      </c>
      <c r="J1846" s="120" t="str">
        <f>VLOOKUP(B1846,辅助信息!E:I,4,FALSE)</f>
        <v>赵元虎</v>
      </c>
      <c r="K1846" s="120">
        <f>VLOOKUP(J1846,辅助信息!H:I,2,FALSE)</f>
        <v>13684167136</v>
      </c>
      <c r="L1846" s="122" t="str">
        <f>VLOOKUP(B1846,辅助信息!E:J,6,FALSE)</f>
        <v>现场要求调度统一联系指定收货人，不单独发司机位置。锈货不收，装货前联系收货人核实到场规格,没提前告知进场规格现场不给予接收</v>
      </c>
      <c r="M1846" s="91">
        <v>45819</v>
      </c>
      <c r="O1846" s="62">
        <f ca="1" t="shared" si="111"/>
        <v>0</v>
      </c>
      <c r="P1846" s="62">
        <f ca="1" t="shared" si="112"/>
        <v>141</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8" t="s">
        <v>166</v>
      </c>
      <c r="B1847" s="120" t="s">
        <v>167</v>
      </c>
      <c r="C1847" s="70">
        <v>45825</v>
      </c>
      <c r="D1847" s="120" t="str">
        <f>VLOOKUP(B1847,辅助信息!E:K,7,FALSE)</f>
        <v>JWDDCD2025102100473</v>
      </c>
      <c r="E1847" s="120" t="str">
        <f>VLOOKUP(F1847,辅助信息!A:B,2,FALSE)</f>
        <v>盘螺</v>
      </c>
      <c r="F1847" s="131" t="s">
        <v>40</v>
      </c>
      <c r="G1847" s="121">
        <v>4</v>
      </c>
      <c r="H1847" s="121" t="str">
        <f>_xlfn.XLOOKUP(C1847&amp;F1847&amp;I1847&amp;J1847,'[1]2025年已发货'!$F:$F&amp;'[1]2025年已发货'!$C:$C&amp;'[1]2025年已发货'!$G:$G&amp;'[1]2025年已发货'!$H:$H,'[1]2025年已发货'!$E:$E,"未发货")</f>
        <v>未发货</v>
      </c>
      <c r="I1847" s="120" t="str">
        <f>VLOOKUP(B1847,辅助信息!E:I,3,FALSE)</f>
        <v>(五冶建设扩建艺体中学二期工程)四川省成都市双流区光荣路成都艺体中学南200米</v>
      </c>
      <c r="J1847" s="120" t="str">
        <f>VLOOKUP(B1847,辅助信息!E:I,4,FALSE)</f>
        <v>谢序强</v>
      </c>
      <c r="K1847" s="120">
        <f>VLOOKUP(J1847,辅助信息!H:I,2,FALSE)</f>
        <v>13458588232</v>
      </c>
      <c r="L1847" s="122"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1">
        <v>45828</v>
      </c>
      <c r="O1847" s="62">
        <f ca="1" t="shared" si="111"/>
        <v>0</v>
      </c>
      <c r="P1847" s="62">
        <f ca="1" t="shared" si="112"/>
        <v>132</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8"/>
      <c r="B1848" s="120" t="s">
        <v>167</v>
      </c>
      <c r="C1848" s="70">
        <v>45825</v>
      </c>
      <c r="D1848" s="120" t="str">
        <f>VLOOKUP(B1848,辅助信息!E:K,7,FALSE)</f>
        <v>JWDDCD2025102100473</v>
      </c>
      <c r="E1848" s="120" t="str">
        <f>VLOOKUP(F1848,辅助信息!A:B,2,FALSE)</f>
        <v>盘螺</v>
      </c>
      <c r="F1848" s="131" t="s">
        <v>41</v>
      </c>
      <c r="G1848" s="121">
        <v>4</v>
      </c>
      <c r="H1848" s="121" t="str">
        <f>_xlfn.XLOOKUP(C1848&amp;F1848&amp;I1848&amp;J1848,'[1]2025年已发货'!$F:$F&amp;'[1]2025年已发货'!$C:$C&amp;'[1]2025年已发货'!$G:$G&amp;'[1]2025年已发货'!$H:$H,'[1]2025年已发货'!$E:$E,"未发货")</f>
        <v>未发货</v>
      </c>
      <c r="I1848" s="120" t="str">
        <f>VLOOKUP(B1848,辅助信息!E:I,3,FALSE)</f>
        <v>(五冶建设扩建艺体中学二期工程)四川省成都市双流区光荣路成都艺体中学南200米</v>
      </c>
      <c r="J1848" s="120" t="str">
        <f>VLOOKUP(B1848,辅助信息!E:I,4,FALSE)</f>
        <v>谢序强</v>
      </c>
      <c r="K1848" s="120">
        <f>VLOOKUP(J1848,辅助信息!H:I,2,FALSE)</f>
        <v>13458588232</v>
      </c>
      <c r="L1848" s="122"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1">
        <v>45828</v>
      </c>
      <c r="O1848" s="62">
        <f ca="1" t="shared" si="111"/>
        <v>0</v>
      </c>
      <c r="P1848" s="62">
        <f ca="1" t="shared" si="112"/>
        <v>132</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8"/>
      <c r="B1849" s="120" t="s">
        <v>167</v>
      </c>
      <c r="C1849" s="70">
        <v>45825</v>
      </c>
      <c r="D1849" s="120" t="str">
        <f>VLOOKUP(B1849,辅助信息!E:K,7,FALSE)</f>
        <v>JWDDCD2025102100473</v>
      </c>
      <c r="E1849" s="120" t="str">
        <f>VLOOKUP(F1849,辅助信息!A:B,2,FALSE)</f>
        <v>螺纹钢</v>
      </c>
      <c r="F1849" s="131" t="s">
        <v>27</v>
      </c>
      <c r="G1849" s="121">
        <v>5</v>
      </c>
      <c r="H1849" s="121" t="str">
        <f>_xlfn.XLOOKUP(C1849&amp;F1849&amp;I1849&amp;J1849,'[1]2025年已发货'!$F:$F&amp;'[1]2025年已发货'!$C:$C&amp;'[1]2025年已发货'!$G:$G&amp;'[1]2025年已发货'!$H:$H,'[1]2025年已发货'!$E:$E,"未发货")</f>
        <v>未发货</v>
      </c>
      <c r="I1849" s="120" t="str">
        <f>VLOOKUP(B1849,辅助信息!E:I,3,FALSE)</f>
        <v>(五冶建设扩建艺体中学二期工程)四川省成都市双流区光荣路成都艺体中学南200米</v>
      </c>
      <c r="J1849" s="120" t="str">
        <f>VLOOKUP(B1849,辅助信息!E:I,4,FALSE)</f>
        <v>谢序强</v>
      </c>
      <c r="K1849" s="120">
        <f>VLOOKUP(J1849,辅助信息!H:I,2,FALSE)</f>
        <v>13458588232</v>
      </c>
      <c r="L1849" s="122"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1">
        <v>45828</v>
      </c>
      <c r="O1849" s="62">
        <f ca="1" t="shared" si="111"/>
        <v>0</v>
      </c>
      <c r="P1849" s="62">
        <f ca="1" t="shared" si="112"/>
        <v>132</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8"/>
      <c r="B1850" s="120" t="s">
        <v>167</v>
      </c>
      <c r="C1850" s="70">
        <v>45825</v>
      </c>
      <c r="D1850" s="120" t="str">
        <f>VLOOKUP(B1850,辅助信息!E:K,7,FALSE)</f>
        <v>JWDDCD2025102100473</v>
      </c>
      <c r="E1850" s="120" t="str">
        <f>VLOOKUP(F1850,辅助信息!A:B,2,FALSE)</f>
        <v>螺纹钢</v>
      </c>
      <c r="F1850" s="131" t="s">
        <v>19</v>
      </c>
      <c r="G1850" s="121">
        <v>5</v>
      </c>
      <c r="H1850" s="121" t="str">
        <f>_xlfn.XLOOKUP(C1850&amp;F1850&amp;I1850&amp;J1850,'[1]2025年已发货'!$F:$F&amp;'[1]2025年已发货'!$C:$C&amp;'[1]2025年已发货'!$G:$G&amp;'[1]2025年已发货'!$H:$H,'[1]2025年已发货'!$E:$E,"未发货")</f>
        <v>未发货</v>
      </c>
      <c r="I1850" s="120" t="str">
        <f>VLOOKUP(B1850,辅助信息!E:I,3,FALSE)</f>
        <v>(五冶建设扩建艺体中学二期工程)四川省成都市双流区光荣路成都艺体中学南200米</v>
      </c>
      <c r="J1850" s="120" t="str">
        <f>VLOOKUP(B1850,辅助信息!E:I,4,FALSE)</f>
        <v>谢序强</v>
      </c>
      <c r="K1850" s="120">
        <f>VLOOKUP(J1850,辅助信息!H:I,2,FALSE)</f>
        <v>13458588232</v>
      </c>
      <c r="L1850" s="122"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1">
        <v>45828</v>
      </c>
      <c r="O1850" s="62">
        <f ca="1" t="shared" si="111"/>
        <v>0</v>
      </c>
      <c r="P1850" s="62">
        <f ca="1" t="shared" si="112"/>
        <v>132</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8"/>
      <c r="B1851" s="120" t="s">
        <v>167</v>
      </c>
      <c r="C1851" s="70">
        <v>45825</v>
      </c>
      <c r="D1851" s="120" t="str">
        <f>VLOOKUP(B1851,辅助信息!E:K,7,FALSE)</f>
        <v>JWDDCD2025102100473</v>
      </c>
      <c r="E1851" s="120" t="str">
        <f>VLOOKUP(F1851,辅助信息!A:B,2,FALSE)</f>
        <v>螺纹钢</v>
      </c>
      <c r="F1851" s="131" t="s">
        <v>32</v>
      </c>
      <c r="G1851" s="121">
        <v>5</v>
      </c>
      <c r="H1851" s="121" t="str">
        <f>_xlfn.XLOOKUP(C1851&amp;F1851&amp;I1851&amp;J1851,'[1]2025年已发货'!$F:$F&amp;'[1]2025年已发货'!$C:$C&amp;'[1]2025年已发货'!$G:$G&amp;'[1]2025年已发货'!$H:$H,'[1]2025年已发货'!$E:$E,"未发货")</f>
        <v>未发货</v>
      </c>
      <c r="I1851" s="120" t="str">
        <f>VLOOKUP(B1851,辅助信息!E:I,3,FALSE)</f>
        <v>(五冶建设扩建艺体中学二期工程)四川省成都市双流区光荣路成都艺体中学南200米</v>
      </c>
      <c r="J1851" s="120" t="str">
        <f>VLOOKUP(B1851,辅助信息!E:I,4,FALSE)</f>
        <v>谢序强</v>
      </c>
      <c r="K1851" s="120">
        <f>VLOOKUP(J1851,辅助信息!H:I,2,FALSE)</f>
        <v>13458588232</v>
      </c>
      <c r="L1851" s="122"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1">
        <v>45828</v>
      </c>
      <c r="O1851" s="62">
        <f ca="1" t="shared" si="111"/>
        <v>0</v>
      </c>
      <c r="P1851" s="62">
        <f ca="1" t="shared" si="112"/>
        <v>132</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8"/>
      <c r="B1852" s="120" t="s">
        <v>167</v>
      </c>
      <c r="C1852" s="70">
        <v>45825</v>
      </c>
      <c r="D1852" s="120" t="str">
        <f>VLOOKUP(B1852,辅助信息!E:K,7,FALSE)</f>
        <v>JWDDCD2025102100473</v>
      </c>
      <c r="E1852" s="120" t="str">
        <f>VLOOKUP(F1852,辅助信息!A:B,2,FALSE)</f>
        <v>螺纹钢</v>
      </c>
      <c r="F1852" s="120" t="s">
        <v>30</v>
      </c>
      <c r="G1852" s="121">
        <v>9</v>
      </c>
      <c r="H1852" s="121" t="str">
        <f>_xlfn.XLOOKUP(C1852&amp;F1852&amp;I1852&amp;J1852,'[1]2025年已发货'!$F:$F&amp;'[1]2025年已发货'!$C:$C&amp;'[1]2025年已发货'!$G:$G&amp;'[1]2025年已发货'!$H:$H,'[1]2025年已发货'!$E:$E,"未发货")</f>
        <v>未发货</v>
      </c>
      <c r="I1852" s="120" t="str">
        <f>VLOOKUP(B1852,辅助信息!E:I,3,FALSE)</f>
        <v>(五冶建设扩建艺体中学二期工程)四川省成都市双流区光荣路成都艺体中学南200米</v>
      </c>
      <c r="J1852" s="120" t="str">
        <f>VLOOKUP(B1852,辅助信息!E:I,4,FALSE)</f>
        <v>谢序强</v>
      </c>
      <c r="K1852" s="120">
        <f>VLOOKUP(J1852,辅助信息!H:I,2,FALSE)</f>
        <v>13458588232</v>
      </c>
      <c r="L1852" s="122"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1">
        <v>45828</v>
      </c>
      <c r="O1852" s="62">
        <f ca="1" t="shared" si="111"/>
        <v>0</v>
      </c>
      <c r="P1852" s="62">
        <f ca="1" t="shared" si="112"/>
        <v>132</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8"/>
      <c r="B1853" s="120" t="s">
        <v>167</v>
      </c>
      <c r="C1853" s="70">
        <v>45825</v>
      </c>
      <c r="D1853" s="120" t="str">
        <f>VLOOKUP(B1853,辅助信息!E:K,7,FALSE)</f>
        <v>JWDDCD2025102100473</v>
      </c>
      <c r="E1853" s="120" t="str">
        <f>VLOOKUP(F1853,辅助信息!A:B,2,FALSE)</f>
        <v>螺纹钢</v>
      </c>
      <c r="F1853" s="131" t="s">
        <v>33</v>
      </c>
      <c r="G1853" s="121">
        <v>5</v>
      </c>
      <c r="H1853" s="121" t="str">
        <f>_xlfn.XLOOKUP(C1853&amp;F1853&amp;I1853&amp;J1853,'[1]2025年已发货'!$F:$F&amp;'[1]2025年已发货'!$C:$C&amp;'[1]2025年已发货'!$G:$G&amp;'[1]2025年已发货'!$H:$H,'[1]2025年已发货'!$E:$E,"未发货")</f>
        <v>未发货</v>
      </c>
      <c r="I1853" s="120" t="str">
        <f>VLOOKUP(B1853,辅助信息!E:I,3,FALSE)</f>
        <v>(五冶建设扩建艺体中学二期工程)四川省成都市双流区光荣路成都艺体中学南200米</v>
      </c>
      <c r="J1853" s="120" t="str">
        <f>VLOOKUP(B1853,辅助信息!E:I,4,FALSE)</f>
        <v>谢序强</v>
      </c>
      <c r="K1853" s="120">
        <f>VLOOKUP(J1853,辅助信息!H:I,2,FALSE)</f>
        <v>13458588232</v>
      </c>
      <c r="L1853" s="122"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1">
        <v>45828</v>
      </c>
      <c r="O1853" s="62">
        <f ca="1" t="shared" si="111"/>
        <v>0</v>
      </c>
      <c r="P1853" s="62">
        <f ca="1" t="shared" si="112"/>
        <v>132</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8"/>
      <c r="B1854" s="120" t="s">
        <v>167</v>
      </c>
      <c r="C1854" s="70">
        <v>45825</v>
      </c>
      <c r="D1854" s="120" t="str">
        <f>VLOOKUP(B1854,辅助信息!E:K,7,FALSE)</f>
        <v>JWDDCD2025102100473</v>
      </c>
      <c r="E1854" s="120" t="str">
        <f>VLOOKUP(F1854,辅助信息!A:B,2,FALSE)</f>
        <v>螺纹钢</v>
      </c>
      <c r="F1854" s="131" t="s">
        <v>28</v>
      </c>
      <c r="G1854" s="121">
        <v>5</v>
      </c>
      <c r="H1854" s="121" t="str">
        <f>_xlfn.XLOOKUP(C1854&amp;F1854&amp;I1854&amp;J1854,'[1]2025年已发货'!$F:$F&amp;'[1]2025年已发货'!$C:$C&amp;'[1]2025年已发货'!$G:$G&amp;'[1]2025年已发货'!$H:$H,'[1]2025年已发货'!$E:$E,"未发货")</f>
        <v>未发货</v>
      </c>
      <c r="I1854" s="120" t="str">
        <f>VLOOKUP(B1854,辅助信息!E:I,3,FALSE)</f>
        <v>(五冶建设扩建艺体中学二期工程)四川省成都市双流区光荣路成都艺体中学南200米</v>
      </c>
      <c r="J1854" s="120" t="str">
        <f>VLOOKUP(B1854,辅助信息!E:I,4,FALSE)</f>
        <v>谢序强</v>
      </c>
      <c r="K1854" s="120">
        <f>VLOOKUP(J1854,辅助信息!H:I,2,FALSE)</f>
        <v>13458588232</v>
      </c>
      <c r="L1854" s="122"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1">
        <v>45828</v>
      </c>
      <c r="O1854" s="62">
        <f ca="1" t="shared" si="111"/>
        <v>0</v>
      </c>
      <c r="P1854" s="62">
        <f ca="1" t="shared" si="112"/>
        <v>132</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8"/>
      <c r="B1855" s="120" t="s">
        <v>167</v>
      </c>
      <c r="C1855" s="70">
        <v>45825</v>
      </c>
      <c r="D1855" s="120" t="str">
        <f>VLOOKUP(B1855,辅助信息!E:K,7,FALSE)</f>
        <v>JWDDCD2025102100473</v>
      </c>
      <c r="E1855" s="120" t="str">
        <f>VLOOKUP(F1855,辅助信息!A:B,2,FALSE)</f>
        <v>螺纹钢</v>
      </c>
      <c r="F1855" s="120" t="s">
        <v>18</v>
      </c>
      <c r="G1855" s="121">
        <v>26</v>
      </c>
      <c r="H1855" s="121" t="str">
        <f>_xlfn.XLOOKUP(C1855&amp;F1855&amp;I1855&amp;J1855,'[1]2025年已发货'!$F:$F&amp;'[1]2025年已发货'!$C:$C&amp;'[1]2025年已发货'!$G:$G&amp;'[1]2025年已发货'!$H:$H,'[1]2025年已发货'!$E:$E,"未发货")</f>
        <v>未发货</v>
      </c>
      <c r="I1855" s="120" t="str">
        <f>VLOOKUP(B1855,辅助信息!E:I,3,FALSE)</f>
        <v>(五冶建设扩建艺体中学二期工程)四川省成都市双流区光荣路成都艺体中学南200米</v>
      </c>
      <c r="J1855" s="120" t="str">
        <f>VLOOKUP(B1855,辅助信息!E:I,4,FALSE)</f>
        <v>谢序强</v>
      </c>
      <c r="K1855" s="120">
        <f>VLOOKUP(J1855,辅助信息!H:I,2,FALSE)</f>
        <v>13458588232</v>
      </c>
      <c r="L1855" s="122"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1">
        <v>45828</v>
      </c>
      <c r="O1855" s="62">
        <f ca="1" t="shared" si="111"/>
        <v>0</v>
      </c>
      <c r="P1855" s="62">
        <f ca="1" t="shared" si="112"/>
        <v>132</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0">
        <v>45825</v>
      </c>
      <c r="D1856" s="120" t="str">
        <f>VLOOKUP(B1856,辅助信息!E:K,7,FALSE)</f>
        <v>JWDDCD2025051800046</v>
      </c>
      <c r="E1856" s="120" t="str">
        <f>VLOOKUP(F1856,辅助信息!A:B,2,FALSE)</f>
        <v>盘螺</v>
      </c>
      <c r="F1856" s="40" t="s">
        <v>40</v>
      </c>
      <c r="G1856" s="36">
        <v>34</v>
      </c>
      <c r="H1856" s="121" t="str">
        <f>_xlfn.XLOOKUP(C1856&amp;F1856&amp;I1856&amp;J1856,'[1]2025年已发货'!$F:$F&amp;'[1]2025年已发货'!$C:$C&amp;'[1]2025年已发货'!$G:$G&amp;'[1]2025年已发货'!$H:$H,'[1]2025年已发货'!$E:$E,"未发货")</f>
        <v>未发货</v>
      </c>
      <c r="I1856" s="120" t="str">
        <f>VLOOKUP(B1856,辅助信息!E:I,3,FALSE)</f>
        <v>（华西萌海科创农业生态谷）成都市简阳市白金山水库</v>
      </c>
      <c r="J1856" s="120" t="str">
        <f>VLOOKUP(B1856,辅助信息!E:I,4,FALSE)</f>
        <v>石清国</v>
      </c>
      <c r="K1856" s="120">
        <f>VLOOKUP(J1856,辅助信息!H:I,2,FALSE)</f>
        <v>13458642015</v>
      </c>
      <c r="L1856" s="122" t="str">
        <f>VLOOKUP(B1856,辅助信息!E:J,6,FALSE)</f>
        <v>优先威钢,我方卸车,新老国标钢厂不加价可直发</v>
      </c>
      <c r="M1856" s="91">
        <v>45828</v>
      </c>
      <c r="O1856" s="62">
        <f ca="1" t="shared" ref="O1856:O1880" si="113">IF(OR(M1856="",N1856&lt;&gt;""),"",MAX(M1856-TODAY(),0))</f>
        <v>0</v>
      </c>
      <c r="P1856" s="62">
        <f ca="1" t="shared" ref="P1856:P1880" si="114">IF(M1856="","",IF(N1856&lt;&gt;"",MAX(N1856-M1856,0),IF(TODAY()&gt;M1856,TODAY()-M1856,0)))</f>
        <v>132</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0">
        <v>45825</v>
      </c>
      <c r="D1857" s="120" t="str">
        <f>VLOOKUP(B1857,辅助信息!E:K,7,FALSE)</f>
        <v>JWDDCD2025051800046</v>
      </c>
      <c r="E1857" s="120" t="str">
        <f>VLOOKUP(F1857,辅助信息!A:B,2,FALSE)</f>
        <v>盘螺</v>
      </c>
      <c r="F1857" s="40" t="s">
        <v>41</v>
      </c>
      <c r="G1857" s="36">
        <v>10</v>
      </c>
      <c r="H1857" s="121" t="str">
        <f>_xlfn.XLOOKUP(C1857&amp;F1857&amp;I1857&amp;J1857,'[1]2025年已发货'!$F:$F&amp;'[1]2025年已发货'!$C:$C&amp;'[1]2025年已发货'!$G:$G&amp;'[1]2025年已发货'!$H:$H,'[1]2025年已发货'!$E:$E,"未发货")</f>
        <v>未发货</v>
      </c>
      <c r="I1857" s="120" t="str">
        <f>VLOOKUP(B1857,辅助信息!E:I,3,FALSE)</f>
        <v>（华西萌海科创农业生态谷）成都市简阳市白金山水库</v>
      </c>
      <c r="J1857" s="120" t="str">
        <f>VLOOKUP(B1857,辅助信息!E:I,4,FALSE)</f>
        <v>石清国</v>
      </c>
      <c r="K1857" s="120">
        <f>VLOOKUP(J1857,辅助信息!H:I,2,FALSE)</f>
        <v>13458642015</v>
      </c>
      <c r="L1857" s="122" t="str">
        <f>VLOOKUP(B1857,辅助信息!E:J,6,FALSE)</f>
        <v>优先威钢,我方卸车,新老国标钢厂不加价可直发</v>
      </c>
      <c r="M1857" s="91">
        <v>45828</v>
      </c>
      <c r="O1857" s="62">
        <f ca="1" t="shared" si="113"/>
        <v>0</v>
      </c>
      <c r="P1857" s="62">
        <f ca="1" t="shared" si="114"/>
        <v>132</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0">
        <v>45825</v>
      </c>
      <c r="D1858" s="120" t="str">
        <f>VLOOKUP(B1858,辅助信息!E:K,7,FALSE)</f>
        <v>JWDDCD2025051800046</v>
      </c>
      <c r="E1858" s="120" t="str">
        <f>VLOOKUP(F1858,辅助信息!A:B,2,FALSE)</f>
        <v>盘螺</v>
      </c>
      <c r="F1858" s="40" t="s">
        <v>26</v>
      </c>
      <c r="G1858" s="36">
        <v>6</v>
      </c>
      <c r="H1858" s="121" t="str">
        <f>_xlfn.XLOOKUP(C1858&amp;F1858&amp;I1858&amp;J1858,'[1]2025年已发货'!$F:$F&amp;'[1]2025年已发货'!$C:$C&amp;'[1]2025年已发货'!$G:$G&amp;'[1]2025年已发货'!$H:$H,'[1]2025年已发货'!$E:$E,"未发货")</f>
        <v>未发货</v>
      </c>
      <c r="I1858" s="120" t="str">
        <f>VLOOKUP(B1858,辅助信息!E:I,3,FALSE)</f>
        <v>（华西萌海科创农业生态谷）成都市简阳市白金山水库</v>
      </c>
      <c r="J1858" s="120" t="str">
        <f>VLOOKUP(B1858,辅助信息!E:I,4,FALSE)</f>
        <v>石清国</v>
      </c>
      <c r="K1858" s="120">
        <f>VLOOKUP(J1858,辅助信息!H:I,2,FALSE)</f>
        <v>13458642015</v>
      </c>
      <c r="L1858" s="122" t="str">
        <f>VLOOKUP(B1858,辅助信息!E:J,6,FALSE)</f>
        <v>优先威钢,我方卸车,新老国标钢厂不加价可直发</v>
      </c>
      <c r="M1858" s="91">
        <v>45828</v>
      </c>
      <c r="O1858" s="62">
        <f ca="1" t="shared" si="113"/>
        <v>0</v>
      </c>
      <c r="P1858" s="62">
        <f ca="1" t="shared" si="114"/>
        <v>132</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0">
        <v>45825</v>
      </c>
      <c r="D1859" s="120" t="str">
        <f>VLOOKUP(B1859,辅助信息!E:K,7,FALSE)</f>
        <v>JWDDCD2025051800046</v>
      </c>
      <c r="E1859" s="120" t="str">
        <f>VLOOKUP(F1859,辅助信息!A:B,2,FALSE)</f>
        <v>螺纹钢</v>
      </c>
      <c r="F1859" s="40" t="s">
        <v>27</v>
      </c>
      <c r="G1859" s="36">
        <v>10</v>
      </c>
      <c r="H1859" s="121" t="str">
        <f>_xlfn.XLOOKUP(C1859&amp;F1859&amp;I1859&amp;J1859,'[1]2025年已发货'!$F:$F&amp;'[1]2025年已发货'!$C:$C&amp;'[1]2025年已发货'!$G:$G&amp;'[1]2025年已发货'!$H:$H,'[1]2025年已发货'!$E:$E,"未发货")</f>
        <v>未发货</v>
      </c>
      <c r="I1859" s="120" t="str">
        <f>VLOOKUP(B1859,辅助信息!E:I,3,FALSE)</f>
        <v>（华西萌海科创农业生态谷）成都市简阳市白金山水库</v>
      </c>
      <c r="J1859" s="120" t="str">
        <f>VLOOKUP(B1859,辅助信息!E:I,4,FALSE)</f>
        <v>石清国</v>
      </c>
      <c r="K1859" s="120">
        <f>VLOOKUP(J1859,辅助信息!H:I,2,FALSE)</f>
        <v>13458642015</v>
      </c>
      <c r="L1859" s="122" t="str">
        <f>VLOOKUP(B1859,辅助信息!E:J,6,FALSE)</f>
        <v>优先威钢,我方卸车,新老国标钢厂不加价可直发</v>
      </c>
      <c r="M1859" s="91">
        <v>45828</v>
      </c>
      <c r="O1859" s="62">
        <f ca="1" t="shared" si="113"/>
        <v>0</v>
      </c>
      <c r="P1859" s="62">
        <f ca="1" t="shared" si="114"/>
        <v>132</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0">
        <v>45825</v>
      </c>
      <c r="D1860" s="120" t="str">
        <f>VLOOKUP(B1860,辅助信息!E:K,7,FALSE)</f>
        <v>JWDDCD2025051800046</v>
      </c>
      <c r="E1860" s="120" t="str">
        <f>VLOOKUP(F1860,辅助信息!A:B,2,FALSE)</f>
        <v>螺纹钢</v>
      </c>
      <c r="F1860" s="40" t="s">
        <v>19</v>
      </c>
      <c r="G1860" s="36">
        <v>3</v>
      </c>
      <c r="H1860" s="121" t="str">
        <f>_xlfn.XLOOKUP(C1860&amp;F1860&amp;I1860&amp;J1860,'[1]2025年已发货'!$F:$F&amp;'[1]2025年已发货'!$C:$C&amp;'[1]2025年已发货'!$G:$G&amp;'[1]2025年已发货'!$H:$H,'[1]2025年已发货'!$E:$E,"未发货")</f>
        <v>未发货</v>
      </c>
      <c r="I1860" s="120" t="str">
        <f>VLOOKUP(B1860,辅助信息!E:I,3,FALSE)</f>
        <v>（华西萌海科创农业生态谷）成都市简阳市白金山水库</v>
      </c>
      <c r="J1860" s="120" t="str">
        <f>VLOOKUP(B1860,辅助信息!E:I,4,FALSE)</f>
        <v>石清国</v>
      </c>
      <c r="K1860" s="120">
        <f>VLOOKUP(J1860,辅助信息!H:I,2,FALSE)</f>
        <v>13458642015</v>
      </c>
      <c r="L1860" s="122" t="str">
        <f>VLOOKUP(B1860,辅助信息!E:J,6,FALSE)</f>
        <v>优先威钢,我方卸车,新老国标钢厂不加价可直发</v>
      </c>
      <c r="M1860" s="91">
        <v>45828</v>
      </c>
      <c r="O1860" s="62">
        <f ca="1" t="shared" si="113"/>
        <v>0</v>
      </c>
      <c r="P1860" s="62">
        <f ca="1" t="shared" si="114"/>
        <v>132</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0">
        <v>45825</v>
      </c>
      <c r="D1861" s="120" t="str">
        <f>VLOOKUP(B1861,辅助信息!E:K,7,FALSE)</f>
        <v>JWDDCD2025051800046</v>
      </c>
      <c r="E1861" s="120" t="str">
        <f>VLOOKUP(F1861,辅助信息!A:B,2,FALSE)</f>
        <v>螺纹钢</v>
      </c>
      <c r="F1861" s="40" t="s">
        <v>32</v>
      </c>
      <c r="G1861" s="36">
        <v>3</v>
      </c>
      <c r="H1861" s="121" t="str">
        <f>_xlfn.XLOOKUP(C1861&amp;F1861&amp;I1861&amp;J1861,'[1]2025年已发货'!$F:$F&amp;'[1]2025年已发货'!$C:$C&amp;'[1]2025年已发货'!$G:$G&amp;'[1]2025年已发货'!$H:$H,'[1]2025年已发货'!$E:$E,"未发货")</f>
        <v>未发货</v>
      </c>
      <c r="I1861" s="120" t="str">
        <f>VLOOKUP(B1861,辅助信息!E:I,3,FALSE)</f>
        <v>（华西萌海科创农业生态谷）成都市简阳市白金山水库</v>
      </c>
      <c r="J1861" s="120" t="str">
        <f>VLOOKUP(B1861,辅助信息!E:I,4,FALSE)</f>
        <v>石清国</v>
      </c>
      <c r="K1861" s="120">
        <f>VLOOKUP(J1861,辅助信息!H:I,2,FALSE)</f>
        <v>13458642015</v>
      </c>
      <c r="L1861" s="122" t="str">
        <f>VLOOKUP(B1861,辅助信息!E:J,6,FALSE)</f>
        <v>优先威钢,我方卸车,新老国标钢厂不加价可直发</v>
      </c>
      <c r="M1861" s="91">
        <v>45828</v>
      </c>
      <c r="O1861" s="62">
        <f ca="1" t="shared" si="113"/>
        <v>0</v>
      </c>
      <c r="P1861" s="62">
        <f ca="1" t="shared" si="114"/>
        <v>132</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0">
        <v>45825</v>
      </c>
      <c r="D1862" s="120" t="str">
        <f>VLOOKUP(B1862,辅助信息!E:K,7,FALSE)</f>
        <v>JWDDCD2025051800046</v>
      </c>
      <c r="E1862" s="120" t="str">
        <f>VLOOKUP(F1862,辅助信息!A:B,2,FALSE)</f>
        <v>螺纹钢</v>
      </c>
      <c r="F1862" s="40" t="s">
        <v>33</v>
      </c>
      <c r="G1862" s="36">
        <v>3</v>
      </c>
      <c r="H1862" s="121" t="str">
        <f>_xlfn.XLOOKUP(C1862&amp;F1862&amp;I1862&amp;J1862,'[1]2025年已发货'!$F:$F&amp;'[1]2025年已发货'!$C:$C&amp;'[1]2025年已发货'!$G:$G&amp;'[1]2025年已发货'!$H:$H,'[1]2025年已发货'!$E:$E,"未发货")</f>
        <v>未发货</v>
      </c>
      <c r="I1862" s="120" t="str">
        <f>VLOOKUP(B1862,辅助信息!E:I,3,FALSE)</f>
        <v>（华西萌海科创农业生态谷）成都市简阳市白金山水库</v>
      </c>
      <c r="J1862" s="120" t="str">
        <f>VLOOKUP(B1862,辅助信息!E:I,4,FALSE)</f>
        <v>石清国</v>
      </c>
      <c r="K1862" s="120">
        <f>VLOOKUP(J1862,辅助信息!H:I,2,FALSE)</f>
        <v>13458642015</v>
      </c>
      <c r="L1862" s="122" t="str">
        <f>VLOOKUP(B1862,辅助信息!E:J,6,FALSE)</f>
        <v>优先威钢,我方卸车,新老国标钢厂不加价可直发</v>
      </c>
      <c r="M1862" s="91">
        <v>45828</v>
      </c>
      <c r="O1862" s="62">
        <f ca="1" t="shared" si="113"/>
        <v>0</v>
      </c>
      <c r="P1862" s="62">
        <f ca="1" t="shared" si="114"/>
        <v>132</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0">
        <v>45825</v>
      </c>
      <c r="D1863" s="120" t="str">
        <f>VLOOKUP(B1863,辅助信息!E:K,7,FALSE)</f>
        <v>JWDDCD2025051800046</v>
      </c>
      <c r="E1863" s="120" t="str">
        <f>VLOOKUP(F1863,辅助信息!A:B,2,FALSE)</f>
        <v>螺纹钢</v>
      </c>
      <c r="F1863" s="40" t="s">
        <v>28</v>
      </c>
      <c r="G1863" s="36">
        <v>3</v>
      </c>
      <c r="H1863" s="121" t="str">
        <f>_xlfn.XLOOKUP(C1863&amp;F1863&amp;I1863&amp;J1863,'[1]2025年已发货'!$F:$F&amp;'[1]2025年已发货'!$C:$C&amp;'[1]2025年已发货'!$G:$G&amp;'[1]2025年已发货'!$H:$H,'[1]2025年已发货'!$E:$E,"未发货")</f>
        <v>未发货</v>
      </c>
      <c r="I1863" s="120" t="str">
        <f>VLOOKUP(B1863,辅助信息!E:I,3,FALSE)</f>
        <v>（华西萌海科创农业生态谷）成都市简阳市白金山水库</v>
      </c>
      <c r="J1863" s="120" t="str">
        <f>VLOOKUP(B1863,辅助信息!E:I,4,FALSE)</f>
        <v>石清国</v>
      </c>
      <c r="K1863" s="120">
        <f>VLOOKUP(J1863,辅助信息!H:I,2,FALSE)</f>
        <v>13458642015</v>
      </c>
      <c r="L1863" s="122" t="str">
        <f>VLOOKUP(B1863,辅助信息!E:J,6,FALSE)</f>
        <v>优先威钢,我方卸车,新老国标钢厂不加价可直发</v>
      </c>
      <c r="M1863" s="91">
        <v>45828</v>
      </c>
      <c r="O1863" s="62">
        <f ca="1" t="shared" si="113"/>
        <v>0</v>
      </c>
      <c r="P1863" s="62">
        <f ca="1" t="shared" si="114"/>
        <v>132</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0">
        <v>45825</v>
      </c>
      <c r="D1864" s="120" t="str">
        <f>VLOOKUP(B1864,辅助信息!E:K,7,FALSE)</f>
        <v>JWDDCD2025051800046</v>
      </c>
      <c r="E1864" s="120" t="str">
        <f>VLOOKUP(F1864,辅助信息!A:B,2,FALSE)</f>
        <v>螺纹钢</v>
      </c>
      <c r="F1864" s="40" t="s">
        <v>65</v>
      </c>
      <c r="G1864" s="36">
        <v>3</v>
      </c>
      <c r="H1864" s="121" t="str">
        <f>_xlfn.XLOOKUP(C1864&amp;F1864&amp;I1864&amp;J1864,'[1]2025年已发货'!$F:$F&amp;'[1]2025年已发货'!$C:$C&amp;'[1]2025年已发货'!$G:$G&amp;'[1]2025年已发货'!$H:$H,'[1]2025年已发货'!$E:$E,"未发货")</f>
        <v>未发货</v>
      </c>
      <c r="I1864" s="120" t="str">
        <f>VLOOKUP(B1864,辅助信息!E:I,3,FALSE)</f>
        <v>（华西萌海科创农业生态谷）成都市简阳市白金山水库</v>
      </c>
      <c r="J1864" s="120" t="str">
        <f>VLOOKUP(B1864,辅助信息!E:I,4,FALSE)</f>
        <v>石清国</v>
      </c>
      <c r="K1864" s="120">
        <f>VLOOKUP(J1864,辅助信息!H:I,2,FALSE)</f>
        <v>13458642015</v>
      </c>
      <c r="L1864" s="122" t="str">
        <f>VLOOKUP(B1864,辅助信息!E:J,6,FALSE)</f>
        <v>优先威钢,我方卸车,新老国标钢厂不加价可直发</v>
      </c>
      <c r="M1864" s="91">
        <v>45828</v>
      </c>
      <c r="O1864" s="62">
        <f ca="1" t="shared" si="113"/>
        <v>0</v>
      </c>
      <c r="P1864" s="62">
        <f ca="1" t="shared" si="114"/>
        <v>132</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0">
        <v>45825</v>
      </c>
      <c r="D1865" s="120" t="str">
        <f>VLOOKUP(B1865,辅助信息!E:K,7,FALSE)</f>
        <v>JWDDCD2025051800046</v>
      </c>
      <c r="E1865" s="120" t="str">
        <f>VLOOKUP(F1865,辅助信息!A:B,2,FALSE)</f>
        <v>螺纹钢</v>
      </c>
      <c r="F1865" s="40" t="s">
        <v>58</v>
      </c>
      <c r="G1865" s="36">
        <v>5</v>
      </c>
      <c r="H1865" s="121" t="str">
        <f>_xlfn.XLOOKUP(C1865&amp;F1865&amp;I1865&amp;J1865,'[1]2025年已发货'!$F:$F&amp;'[1]2025年已发货'!$C:$C&amp;'[1]2025年已发货'!$G:$G&amp;'[1]2025年已发货'!$H:$H,'[1]2025年已发货'!$E:$E,"未发货")</f>
        <v>未发货</v>
      </c>
      <c r="I1865" s="120" t="str">
        <f>VLOOKUP(B1865,辅助信息!E:I,3,FALSE)</f>
        <v>（华西萌海科创农业生态谷）成都市简阳市白金山水库</v>
      </c>
      <c r="J1865" s="120" t="str">
        <f>VLOOKUP(B1865,辅助信息!E:I,4,FALSE)</f>
        <v>石清国</v>
      </c>
      <c r="K1865" s="120">
        <f>VLOOKUP(J1865,辅助信息!H:I,2,FALSE)</f>
        <v>13458642015</v>
      </c>
      <c r="L1865" s="122" t="str">
        <f>VLOOKUP(B1865,辅助信息!E:J,6,FALSE)</f>
        <v>优先威钢,我方卸车,新老国标钢厂不加价可直发</v>
      </c>
      <c r="M1865" s="91">
        <v>45828</v>
      </c>
      <c r="O1865" s="62">
        <f ca="1" t="shared" si="113"/>
        <v>0</v>
      </c>
      <c r="P1865" s="62">
        <f ca="1" t="shared" si="114"/>
        <v>132</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0">
        <v>45825</v>
      </c>
      <c r="D1866" s="120" t="str">
        <f>VLOOKUP(B1866,辅助信息!E:K,7,FALSE)</f>
        <v>JWDDCD2025051800046</v>
      </c>
      <c r="E1866" s="120" t="str">
        <f>VLOOKUP(F1866,辅助信息!A:B,2,FALSE)</f>
        <v>螺纹钢</v>
      </c>
      <c r="F1866" s="40" t="s">
        <v>46</v>
      </c>
      <c r="G1866" s="36">
        <v>5</v>
      </c>
      <c r="H1866" s="121" t="str">
        <f>_xlfn.XLOOKUP(C1866&amp;F1866&amp;I1866&amp;J1866,'[1]2025年已发货'!$F:$F&amp;'[1]2025年已发货'!$C:$C&amp;'[1]2025年已发货'!$G:$G&amp;'[1]2025年已发货'!$H:$H,'[1]2025年已发货'!$E:$E,"未发货")</f>
        <v>未发货</v>
      </c>
      <c r="I1866" s="120" t="str">
        <f>VLOOKUP(B1866,辅助信息!E:I,3,FALSE)</f>
        <v>（华西萌海科创农业生态谷）成都市简阳市白金山水库</v>
      </c>
      <c r="J1866" s="120" t="str">
        <f>VLOOKUP(B1866,辅助信息!E:I,4,FALSE)</f>
        <v>石清国</v>
      </c>
      <c r="K1866" s="120">
        <f>VLOOKUP(J1866,辅助信息!H:I,2,FALSE)</f>
        <v>13458642015</v>
      </c>
      <c r="L1866" s="122" t="str">
        <f>VLOOKUP(B1866,辅助信息!E:J,6,FALSE)</f>
        <v>优先威钢,我方卸车,新老国标钢厂不加价可直发</v>
      </c>
      <c r="M1866" s="91">
        <v>45828</v>
      </c>
      <c r="O1866" s="62">
        <f ca="1" t="shared" si="113"/>
        <v>0</v>
      </c>
      <c r="P1866" s="62">
        <f ca="1" t="shared" si="114"/>
        <v>132</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0">
        <v>45825</v>
      </c>
      <c r="D1867" s="120" t="str">
        <f>VLOOKUP(B1867,辅助信息!E:K,7,FALSE)</f>
        <v>JWDDCD2025051800046</v>
      </c>
      <c r="E1867" s="120" t="str">
        <f>VLOOKUP(F1867,辅助信息!A:B,2,FALSE)</f>
        <v>螺纹钢</v>
      </c>
      <c r="F1867" s="40" t="s">
        <v>22</v>
      </c>
      <c r="G1867" s="36">
        <v>20</v>
      </c>
      <c r="H1867" s="121" t="str">
        <f>_xlfn.XLOOKUP(C1867&amp;F1867&amp;I1867&amp;J1867,'[1]2025年已发货'!$F:$F&amp;'[1]2025年已发货'!$C:$C&amp;'[1]2025年已发货'!$G:$G&amp;'[1]2025年已发货'!$H:$H,'[1]2025年已发货'!$E:$E,"未发货")</f>
        <v>未发货</v>
      </c>
      <c r="I1867" s="120" t="str">
        <f>VLOOKUP(B1867,辅助信息!E:I,3,FALSE)</f>
        <v>（华西萌海科创农业生态谷）成都市简阳市白金山水库</v>
      </c>
      <c r="J1867" s="120" t="str">
        <f>VLOOKUP(B1867,辅助信息!E:I,4,FALSE)</f>
        <v>石清国</v>
      </c>
      <c r="K1867" s="120">
        <f>VLOOKUP(J1867,辅助信息!H:I,2,FALSE)</f>
        <v>13458642015</v>
      </c>
      <c r="L1867" s="122" t="str">
        <f>VLOOKUP(B1867,辅助信息!E:J,6,FALSE)</f>
        <v>优先威钢,我方卸车,新老国标钢厂不加价可直发</v>
      </c>
      <c r="M1867" s="91">
        <v>45828</v>
      </c>
      <c r="O1867" s="62">
        <f ca="1" t="shared" si="113"/>
        <v>0</v>
      </c>
      <c r="P1867" s="62">
        <f ca="1" t="shared" si="114"/>
        <v>132</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0">
        <v>45825</v>
      </c>
      <c r="D1868" s="120" t="str">
        <f>VLOOKUP(B1868,辅助信息!E:K,7,FALSE)</f>
        <v>JWDD2025071500089</v>
      </c>
      <c r="E1868" s="120" t="str">
        <f>VLOOKUP(F1868,辅助信息!A:B,2,FALSE)</f>
        <v>高线</v>
      </c>
      <c r="F1868" s="40" t="s">
        <v>53</v>
      </c>
      <c r="G1868" s="36">
        <v>32</v>
      </c>
      <c r="H1868" s="121" t="str">
        <f>_xlfn.XLOOKUP(C1868&amp;F1868&amp;I1868&amp;J1868,'[1]2025年已发货'!$F:$F&amp;'[1]2025年已发货'!$C:$C&amp;'[1]2025年已发货'!$G:$G&amp;'[1]2025年已发货'!$H:$H,'[1]2025年已发货'!$E:$E,"未发货")</f>
        <v>未发货</v>
      </c>
      <c r="I1868" s="120" t="str">
        <f>VLOOKUP(B1868,辅助信息!E:I,3,FALSE)</f>
        <v>(宜宾兴港三江新区长江工业园保障性租赁住房建设项目-2标)四川省宜宾市翠屏区永善路南段宜宾市三江新区长江工业园区</v>
      </c>
      <c r="J1868" s="120" t="str">
        <f>VLOOKUP(B1868,辅助信息!E:I,4,FALSE)</f>
        <v>赵元虎</v>
      </c>
      <c r="K1868" s="120">
        <f>VLOOKUP(J1868,辅助信息!H:I,2,FALSE)</f>
        <v>13684167136</v>
      </c>
      <c r="L1868" s="122" t="str">
        <f>VLOOKUP(B1868,辅助信息!E:J,6,FALSE)</f>
        <v>现场要求调度统一联系指定收货人，不单独发司机位置。锈货不收，装货前联系收货人核实到场规格,没提前告知进场规格现场不给予接收</v>
      </c>
      <c r="M1868" s="91">
        <v>45828</v>
      </c>
      <c r="O1868" s="62">
        <f ca="1" t="shared" si="113"/>
        <v>0</v>
      </c>
      <c r="P1868" s="62">
        <f ca="1" t="shared" si="114"/>
        <v>132</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0">
        <v>45825</v>
      </c>
      <c r="D1869" s="120" t="str">
        <f>VLOOKUP(B1869,辅助信息!E:K,7,FALSE)</f>
        <v>JWDD2025071500089</v>
      </c>
      <c r="E1869" s="120" t="str">
        <f>VLOOKUP(F1869,辅助信息!A:B,2,FALSE)</f>
        <v>螺纹钢</v>
      </c>
      <c r="F1869" s="40" t="s">
        <v>32</v>
      </c>
      <c r="G1869" s="36">
        <v>2.5</v>
      </c>
      <c r="H1869" s="121" t="str">
        <f>_xlfn.XLOOKUP(C1869&amp;F1869&amp;I1869&amp;J1869,'[1]2025年已发货'!$F:$F&amp;'[1]2025年已发货'!$C:$C&amp;'[1]2025年已发货'!$G:$G&amp;'[1]2025年已发货'!$H:$H,'[1]2025年已发货'!$E:$E,"未发货")</f>
        <v>未发货</v>
      </c>
      <c r="I1869" s="120" t="str">
        <f>VLOOKUP(B1869,辅助信息!E:I,3,FALSE)</f>
        <v>(宜宾兴港三江新区长江工业园保障性租赁住房建设项目-2标)四川省宜宾市翠屏区永善路南段宜宾市三江新区长江工业园区</v>
      </c>
      <c r="J1869" s="120" t="str">
        <f>VLOOKUP(B1869,辅助信息!E:I,4,FALSE)</f>
        <v>赵元虎</v>
      </c>
      <c r="K1869" s="120">
        <f>VLOOKUP(J1869,辅助信息!H:I,2,FALSE)</f>
        <v>13684167136</v>
      </c>
      <c r="L1869" s="122" t="str">
        <f>VLOOKUP(B1869,辅助信息!E:J,6,FALSE)</f>
        <v>现场要求调度统一联系指定收货人，不单独发司机位置。锈货不收，装货前联系收货人核实到场规格,没提前告知进场规格现场不给予接收</v>
      </c>
      <c r="M1869" s="91">
        <v>45828</v>
      </c>
      <c r="O1869" s="62">
        <f ca="1" t="shared" si="113"/>
        <v>0</v>
      </c>
      <c r="P1869" s="62">
        <f ca="1" t="shared" si="114"/>
        <v>132</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0">
        <v>45825</v>
      </c>
      <c r="D1870" s="120" t="str">
        <f>VLOOKUP(B1870,辅助信息!E:K,7,FALSE)</f>
        <v>JWDD2025071500089</v>
      </c>
      <c r="E1870" s="120" t="str">
        <f>VLOOKUP(F1870,辅助信息!A:B,2,FALSE)</f>
        <v>螺纹钢</v>
      </c>
      <c r="F1870" s="40" t="s">
        <v>30</v>
      </c>
      <c r="G1870" s="36">
        <f>16+19.5</f>
        <v>35.5</v>
      </c>
      <c r="H1870" s="121" t="str">
        <f>_xlfn.XLOOKUP(C1870&amp;F1870&amp;I1870&amp;J1870,'[1]2025年已发货'!$F:$F&amp;'[1]2025年已发货'!$C:$C&amp;'[1]2025年已发货'!$G:$G&amp;'[1]2025年已发货'!$H:$H,'[1]2025年已发货'!$E:$E,"未发货")</f>
        <v>未发货</v>
      </c>
      <c r="I1870" s="120" t="str">
        <f>VLOOKUP(B1870,辅助信息!E:I,3,FALSE)</f>
        <v>(宜宾兴港三江新区长江工业园保障性租赁住房建设项目-2标)四川省宜宾市翠屏区永善路南段宜宾市三江新区长江工业园区</v>
      </c>
      <c r="J1870" s="120" t="str">
        <f>VLOOKUP(B1870,辅助信息!E:I,4,FALSE)</f>
        <v>赵元虎</v>
      </c>
      <c r="K1870" s="120">
        <f>VLOOKUP(J1870,辅助信息!H:I,2,FALSE)</f>
        <v>13684167136</v>
      </c>
      <c r="L1870" s="122" t="str">
        <f>VLOOKUP(B1870,辅助信息!E:J,6,FALSE)</f>
        <v>现场要求调度统一联系指定收货人，不单独发司机位置。锈货不收，装货前联系收货人核实到场规格,没提前告知进场规格现场不给予接收</v>
      </c>
      <c r="M1870" s="91">
        <v>45828</v>
      </c>
      <c r="O1870" s="62">
        <f ca="1" t="shared" si="113"/>
        <v>0</v>
      </c>
      <c r="P1870" s="62">
        <f ca="1" t="shared" si="114"/>
        <v>132</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0">
        <v>45826</v>
      </c>
      <c r="D1871" s="120" t="str">
        <f>VLOOKUP(B1871,辅助信息!E:K,7,FALSE)</f>
        <v>JWDDCD2024101600133</v>
      </c>
      <c r="E1871" s="120" t="str">
        <f>VLOOKUP(F1871,辅助信息!A:B,2,FALSE)</f>
        <v>盘螺</v>
      </c>
      <c r="F1871" s="40" t="s">
        <v>49</v>
      </c>
      <c r="G1871" s="36">
        <v>2.5</v>
      </c>
      <c r="H1871" s="121">
        <f>_xlfn.XLOOKUP(C1871&amp;F1871&amp;I1871&amp;J1871,'[1]2025年已发货'!$F:$F&amp;'[1]2025年已发货'!$C:$C&amp;'[1]2025年已发货'!$G:$G&amp;'[1]2025年已发货'!$H:$H,'[1]2025年已发货'!$E:$E,"未发货")</f>
        <v>2.5</v>
      </c>
      <c r="I1871" s="120" t="str">
        <f>VLOOKUP(B1871,辅助信息!E:I,3,FALSE)</f>
        <v>(五冶钢构宜宾南溪区项目土建4标)四川省宜宾市高县高县庆符镇鹅卵新农村高县广久大道(庆符厂房项目)</v>
      </c>
      <c r="J1871" s="120" t="str">
        <f>VLOOKUP(B1871,辅助信息!E:I,4,FALSE)</f>
        <v>张朝亮</v>
      </c>
      <c r="K1871" s="120">
        <f>VLOOKUP(J1871,辅助信息!H:I,2,FALSE)</f>
        <v>15228205853</v>
      </c>
      <c r="L1871" s="122" t="str">
        <f>VLOOKUP(B1871,辅助信息!E:J,6,FALSE)</f>
        <v>提前联系到场规格</v>
      </c>
      <c r="M1871" s="91">
        <v>45827</v>
      </c>
      <c r="O1871" s="62">
        <f ca="1" t="shared" si="113"/>
        <v>0</v>
      </c>
      <c r="P1871" s="62">
        <f ca="1" t="shared" si="114"/>
        <v>133</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0">
        <v>45826</v>
      </c>
      <c r="D1872" s="120" t="str">
        <f>VLOOKUP(B1872,辅助信息!E:K,7,FALSE)</f>
        <v>JWDDCD2024101600133</v>
      </c>
      <c r="E1872" s="120" t="str">
        <f>VLOOKUP(F1872,辅助信息!A:B,2,FALSE)</f>
        <v>盘螺</v>
      </c>
      <c r="F1872" s="40" t="s">
        <v>40</v>
      </c>
      <c r="G1872" s="36">
        <v>2.5</v>
      </c>
      <c r="H1872" s="121">
        <f>_xlfn.XLOOKUP(C1872&amp;F1872&amp;I1872&amp;J1872,'[1]2025年已发货'!$F:$F&amp;'[1]2025年已发货'!$C:$C&amp;'[1]2025年已发货'!$G:$G&amp;'[1]2025年已发货'!$H:$H,'[1]2025年已发货'!$E:$E,"未发货")</f>
        <v>2.5</v>
      </c>
      <c r="I1872" s="120" t="str">
        <f>VLOOKUP(B1872,辅助信息!E:I,3,FALSE)</f>
        <v>(五冶钢构宜宾南溪区项目土建4标)四川省宜宾市高县高县庆符镇鹅卵新农村高县广久大道(庆符厂房项目)</v>
      </c>
      <c r="J1872" s="120" t="str">
        <f>VLOOKUP(B1872,辅助信息!E:I,4,FALSE)</f>
        <v>张朝亮</v>
      </c>
      <c r="K1872" s="120">
        <f>VLOOKUP(J1872,辅助信息!H:I,2,FALSE)</f>
        <v>15228205853</v>
      </c>
      <c r="L1872" s="122" t="str">
        <f>VLOOKUP(B1872,辅助信息!E:J,6,FALSE)</f>
        <v>提前联系到场规格</v>
      </c>
      <c r="M1872" s="91">
        <v>45827</v>
      </c>
      <c r="O1872" s="62">
        <f ca="1" t="shared" si="113"/>
        <v>0</v>
      </c>
      <c r="P1872" s="62">
        <f ca="1" t="shared" si="114"/>
        <v>133</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0">
        <v>45826</v>
      </c>
      <c r="D1873" s="120" t="str">
        <f>VLOOKUP(B1873,辅助信息!E:K,7,FALSE)</f>
        <v>JWDDCD2024101600133</v>
      </c>
      <c r="E1873" s="120" t="str">
        <f>VLOOKUP(F1873,辅助信息!A:B,2,FALSE)</f>
        <v>盘螺</v>
      </c>
      <c r="F1873" s="40" t="s">
        <v>41</v>
      </c>
      <c r="G1873" s="36">
        <v>2.5</v>
      </c>
      <c r="H1873" s="121">
        <f>_xlfn.XLOOKUP(C1873&amp;F1873&amp;I1873&amp;J1873,'[1]2025年已发货'!$F:$F&amp;'[1]2025年已发货'!$C:$C&amp;'[1]2025年已发货'!$G:$G&amp;'[1]2025年已发货'!$H:$H,'[1]2025年已发货'!$E:$E,"未发货")</f>
        <v>2.5</v>
      </c>
      <c r="I1873" s="120" t="str">
        <f>VLOOKUP(B1873,辅助信息!E:I,3,FALSE)</f>
        <v>(五冶钢构宜宾南溪区项目土建4标)四川省宜宾市高县高县庆符镇鹅卵新农村高县广久大道(庆符厂房项目)</v>
      </c>
      <c r="J1873" s="120" t="str">
        <f>VLOOKUP(B1873,辅助信息!E:I,4,FALSE)</f>
        <v>张朝亮</v>
      </c>
      <c r="K1873" s="120">
        <f>VLOOKUP(J1873,辅助信息!H:I,2,FALSE)</f>
        <v>15228205853</v>
      </c>
      <c r="L1873" s="122" t="str">
        <f>VLOOKUP(B1873,辅助信息!E:J,6,FALSE)</f>
        <v>提前联系到场规格</v>
      </c>
      <c r="M1873" s="91">
        <v>45827</v>
      </c>
      <c r="O1873" s="62">
        <f ca="1" t="shared" si="113"/>
        <v>0</v>
      </c>
      <c r="P1873" s="62">
        <f ca="1" t="shared" si="114"/>
        <v>133</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0">
        <v>45826</v>
      </c>
      <c r="D1874" s="120" t="str">
        <f>VLOOKUP(B1874,辅助信息!E:K,7,FALSE)</f>
        <v>JWDDCD2024101600133</v>
      </c>
      <c r="E1874" s="120" t="str">
        <f>VLOOKUP(F1874,辅助信息!A:B,2,FALSE)</f>
        <v>螺纹钢</v>
      </c>
      <c r="F1874" s="40" t="s">
        <v>27</v>
      </c>
      <c r="G1874" s="36">
        <v>3</v>
      </c>
      <c r="H1874" s="121">
        <f>_xlfn.XLOOKUP(C1874&amp;F1874&amp;I1874&amp;J1874,'[1]2025年已发货'!$F:$F&amp;'[1]2025年已发货'!$C:$C&amp;'[1]2025年已发货'!$G:$G&amp;'[1]2025年已发货'!$H:$H,'[1]2025年已发货'!$E:$E,"未发货")</f>
        <v>3</v>
      </c>
      <c r="I1874" s="120" t="str">
        <f>VLOOKUP(B1874,辅助信息!E:I,3,FALSE)</f>
        <v>(五冶钢构宜宾南溪区项目土建4标)四川省宜宾市高县高县庆符镇鹅卵新农村高县广久大道(庆符厂房项目)</v>
      </c>
      <c r="J1874" s="120" t="str">
        <f>VLOOKUP(B1874,辅助信息!E:I,4,FALSE)</f>
        <v>张朝亮</v>
      </c>
      <c r="K1874" s="120">
        <f>VLOOKUP(J1874,辅助信息!H:I,2,FALSE)</f>
        <v>15228205853</v>
      </c>
      <c r="L1874" s="122" t="str">
        <f>VLOOKUP(B1874,辅助信息!E:J,6,FALSE)</f>
        <v>提前联系到场规格</v>
      </c>
      <c r="M1874" s="91">
        <v>45827</v>
      </c>
      <c r="O1874" s="62">
        <f ca="1" t="shared" si="113"/>
        <v>0</v>
      </c>
      <c r="P1874" s="62">
        <f ca="1" t="shared" si="114"/>
        <v>133</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0">
        <v>45826</v>
      </c>
      <c r="D1875" s="120" t="str">
        <f>VLOOKUP(B1875,辅助信息!E:K,7,FALSE)</f>
        <v>JWDDCD2024101600133</v>
      </c>
      <c r="E1875" s="120" t="str">
        <f>VLOOKUP(F1875,辅助信息!A:B,2,FALSE)</f>
        <v>螺纹钢</v>
      </c>
      <c r="F1875" s="40" t="s">
        <v>19</v>
      </c>
      <c r="G1875" s="36">
        <v>6</v>
      </c>
      <c r="H1875" s="121">
        <f>_xlfn.XLOOKUP(C1875&amp;F1875&amp;I1875&amp;J1875,'[1]2025年已发货'!$F:$F&amp;'[1]2025年已发货'!$C:$C&amp;'[1]2025年已发货'!$G:$G&amp;'[1]2025年已发货'!$H:$H,'[1]2025年已发货'!$E:$E,"未发货")</f>
        <v>6</v>
      </c>
      <c r="I1875" s="120" t="str">
        <f>VLOOKUP(B1875,辅助信息!E:I,3,FALSE)</f>
        <v>(五冶钢构宜宾南溪区项目土建4标)四川省宜宾市高县高县庆符镇鹅卵新农村高县广久大道(庆符厂房项目)</v>
      </c>
      <c r="J1875" s="120" t="str">
        <f>VLOOKUP(B1875,辅助信息!E:I,4,FALSE)</f>
        <v>张朝亮</v>
      </c>
      <c r="K1875" s="120">
        <f>VLOOKUP(J1875,辅助信息!H:I,2,FALSE)</f>
        <v>15228205853</v>
      </c>
      <c r="L1875" s="122" t="str">
        <f>VLOOKUP(B1875,辅助信息!E:J,6,FALSE)</f>
        <v>提前联系到场规格</v>
      </c>
      <c r="M1875" s="91">
        <v>45827</v>
      </c>
      <c r="O1875" s="62">
        <f ca="1" t="shared" si="113"/>
        <v>0</v>
      </c>
      <c r="P1875" s="62">
        <f ca="1" t="shared" si="114"/>
        <v>133</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0">
        <v>45826</v>
      </c>
      <c r="D1876" s="120" t="str">
        <f>VLOOKUP(B1876,辅助信息!E:K,7,FALSE)</f>
        <v>JWDDCD2024101600133</v>
      </c>
      <c r="E1876" s="120" t="str">
        <f>VLOOKUP(F1876,辅助信息!A:B,2,FALSE)</f>
        <v>螺纹钢</v>
      </c>
      <c r="F1876" s="40" t="s">
        <v>32</v>
      </c>
      <c r="G1876" s="36">
        <v>3</v>
      </c>
      <c r="H1876" s="121">
        <f>_xlfn.XLOOKUP(C1876&amp;F1876&amp;I1876&amp;J1876,'[1]2025年已发货'!$F:$F&amp;'[1]2025年已发货'!$C:$C&amp;'[1]2025年已发货'!$G:$G&amp;'[1]2025年已发货'!$H:$H,'[1]2025年已发货'!$E:$E,"未发货")</f>
        <v>3</v>
      </c>
      <c r="I1876" s="120" t="str">
        <f>VLOOKUP(B1876,辅助信息!E:I,3,FALSE)</f>
        <v>(五冶钢构宜宾南溪区项目土建4标)四川省宜宾市高县高县庆符镇鹅卵新农村高县广久大道(庆符厂房项目)</v>
      </c>
      <c r="J1876" s="120" t="str">
        <f>VLOOKUP(B1876,辅助信息!E:I,4,FALSE)</f>
        <v>张朝亮</v>
      </c>
      <c r="K1876" s="120">
        <f>VLOOKUP(J1876,辅助信息!H:I,2,FALSE)</f>
        <v>15228205853</v>
      </c>
      <c r="L1876" s="122" t="str">
        <f>VLOOKUP(B1876,辅助信息!E:J,6,FALSE)</f>
        <v>提前联系到场规格</v>
      </c>
      <c r="M1876" s="91">
        <v>45827</v>
      </c>
      <c r="O1876" s="62">
        <f ca="1" t="shared" si="113"/>
        <v>0</v>
      </c>
      <c r="P1876" s="62">
        <f ca="1" t="shared" si="114"/>
        <v>133</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0">
        <v>45826</v>
      </c>
      <c r="D1877" s="120" t="str">
        <f>VLOOKUP(B1877,辅助信息!E:K,7,FALSE)</f>
        <v>JWDDCD2024101600133</v>
      </c>
      <c r="E1877" s="120" t="str">
        <f>VLOOKUP(F1877,辅助信息!A:B,2,FALSE)</f>
        <v>螺纹钢</v>
      </c>
      <c r="F1877" s="40" t="s">
        <v>30</v>
      </c>
      <c r="G1877" s="36">
        <v>3</v>
      </c>
      <c r="H1877" s="121">
        <f>_xlfn.XLOOKUP(C1877&amp;F1877&amp;I1877&amp;J1877,'[1]2025年已发货'!$F:$F&amp;'[1]2025年已发货'!$C:$C&amp;'[1]2025年已发货'!$G:$G&amp;'[1]2025年已发货'!$H:$H,'[1]2025年已发货'!$E:$E,"未发货")</f>
        <v>3</v>
      </c>
      <c r="I1877" s="120" t="str">
        <f>VLOOKUP(B1877,辅助信息!E:I,3,FALSE)</f>
        <v>(五冶钢构宜宾南溪区项目土建4标)四川省宜宾市高县高县庆符镇鹅卵新农村高县广久大道(庆符厂房项目)</v>
      </c>
      <c r="J1877" s="120" t="str">
        <f>VLOOKUP(B1877,辅助信息!E:I,4,FALSE)</f>
        <v>张朝亮</v>
      </c>
      <c r="K1877" s="120">
        <f>VLOOKUP(J1877,辅助信息!H:I,2,FALSE)</f>
        <v>15228205853</v>
      </c>
      <c r="L1877" s="122" t="str">
        <f>VLOOKUP(B1877,辅助信息!E:J,6,FALSE)</f>
        <v>提前联系到场规格</v>
      </c>
      <c r="M1877" s="91">
        <v>45827</v>
      </c>
      <c r="O1877" s="62">
        <f ca="1" t="shared" si="113"/>
        <v>0</v>
      </c>
      <c r="P1877" s="62">
        <f ca="1" t="shared" si="114"/>
        <v>133</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0">
        <v>45826</v>
      </c>
      <c r="D1878" s="120" t="str">
        <f>VLOOKUP(B1878,辅助信息!E:K,7,FALSE)</f>
        <v>JWDDCD2024101600133</v>
      </c>
      <c r="E1878" s="120" t="str">
        <f>VLOOKUP(F1878,辅助信息!A:B,2,FALSE)</f>
        <v>螺纹钢</v>
      </c>
      <c r="F1878" s="40" t="s">
        <v>33</v>
      </c>
      <c r="G1878" s="36">
        <v>3</v>
      </c>
      <c r="H1878" s="121">
        <f>_xlfn.XLOOKUP(C1878&amp;F1878&amp;I1878&amp;J1878,'[1]2025年已发货'!$F:$F&amp;'[1]2025年已发货'!$C:$C&amp;'[1]2025年已发货'!$G:$G&amp;'[1]2025年已发货'!$H:$H,'[1]2025年已发货'!$E:$E,"未发货")</f>
        <v>3</v>
      </c>
      <c r="I1878" s="120" t="str">
        <f>VLOOKUP(B1878,辅助信息!E:I,3,FALSE)</f>
        <v>(五冶钢构宜宾南溪区项目土建4标)四川省宜宾市高县高县庆符镇鹅卵新农村高县广久大道(庆符厂房项目)</v>
      </c>
      <c r="J1878" s="120" t="str">
        <f>VLOOKUP(B1878,辅助信息!E:I,4,FALSE)</f>
        <v>张朝亮</v>
      </c>
      <c r="K1878" s="120">
        <f>VLOOKUP(J1878,辅助信息!H:I,2,FALSE)</f>
        <v>15228205853</v>
      </c>
      <c r="L1878" s="122" t="str">
        <f>VLOOKUP(B1878,辅助信息!E:J,6,FALSE)</f>
        <v>提前联系到场规格</v>
      </c>
      <c r="M1878" s="91">
        <v>45827</v>
      </c>
      <c r="O1878" s="62">
        <f ca="1" t="shared" si="113"/>
        <v>0</v>
      </c>
      <c r="P1878" s="62">
        <f ca="1" t="shared" si="114"/>
        <v>133</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0">
        <v>45826</v>
      </c>
      <c r="D1879" s="120" t="str">
        <f>VLOOKUP(B1879,辅助信息!E:K,7,FALSE)</f>
        <v>JWDDCD2024101600133</v>
      </c>
      <c r="E1879" s="120" t="str">
        <f>VLOOKUP(F1879,辅助信息!A:B,2,FALSE)</f>
        <v>螺纹钢</v>
      </c>
      <c r="F1879" s="40" t="s">
        <v>28</v>
      </c>
      <c r="G1879" s="36">
        <v>3</v>
      </c>
      <c r="H1879" s="121">
        <f>_xlfn.XLOOKUP(C1879&amp;F1879&amp;I1879&amp;J1879,'[1]2025年已发货'!$F:$F&amp;'[1]2025年已发货'!$C:$C&amp;'[1]2025年已发货'!$G:$G&amp;'[1]2025年已发货'!$H:$H,'[1]2025年已发货'!$E:$E,"未发货")</f>
        <v>3</v>
      </c>
      <c r="I1879" s="120" t="str">
        <f>VLOOKUP(B1879,辅助信息!E:I,3,FALSE)</f>
        <v>(五冶钢构宜宾南溪区项目土建4标)四川省宜宾市高县高县庆符镇鹅卵新农村高县广久大道(庆符厂房项目)</v>
      </c>
      <c r="J1879" s="120" t="str">
        <f>VLOOKUP(B1879,辅助信息!E:I,4,FALSE)</f>
        <v>张朝亮</v>
      </c>
      <c r="K1879" s="120">
        <f>VLOOKUP(J1879,辅助信息!H:I,2,FALSE)</f>
        <v>15228205853</v>
      </c>
      <c r="L1879" s="122" t="str">
        <f>VLOOKUP(B1879,辅助信息!E:J,6,FALSE)</f>
        <v>提前联系到场规格</v>
      </c>
      <c r="M1879" s="91">
        <v>45827</v>
      </c>
      <c r="O1879" s="62">
        <f ca="1" t="shared" si="113"/>
        <v>0</v>
      </c>
      <c r="P1879" s="62">
        <f ca="1" t="shared" si="114"/>
        <v>133</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0">
        <v>45826</v>
      </c>
      <c r="D1880" s="120" t="str">
        <f>VLOOKUP(B1880,辅助信息!E:K,7,FALSE)</f>
        <v>JWDDCD2024101600133</v>
      </c>
      <c r="E1880" s="120" t="str">
        <f>VLOOKUP(F1880,辅助信息!A:B,2,FALSE)</f>
        <v>螺纹钢</v>
      </c>
      <c r="F1880" s="40" t="s">
        <v>18</v>
      </c>
      <c r="G1880" s="36">
        <v>6</v>
      </c>
      <c r="H1880" s="121">
        <f>_xlfn.XLOOKUP(C1880&amp;F1880&amp;I1880&amp;J1880,'[1]2025年已发货'!$F:$F&amp;'[1]2025年已发货'!$C:$C&amp;'[1]2025年已发货'!$G:$G&amp;'[1]2025年已发货'!$H:$H,'[1]2025年已发货'!$E:$E,"未发货")</f>
        <v>6</v>
      </c>
      <c r="I1880" s="120" t="str">
        <f>VLOOKUP(B1880,辅助信息!E:I,3,FALSE)</f>
        <v>(五冶钢构宜宾南溪区项目土建4标)四川省宜宾市高县高县庆符镇鹅卵新农村高县广久大道(庆符厂房项目)</v>
      </c>
      <c r="J1880" s="120" t="str">
        <f>VLOOKUP(B1880,辅助信息!E:I,4,FALSE)</f>
        <v>张朝亮</v>
      </c>
      <c r="K1880" s="120">
        <f>VLOOKUP(J1880,辅助信息!H:I,2,FALSE)</f>
        <v>15228205853</v>
      </c>
      <c r="L1880" s="122" t="str">
        <f>VLOOKUP(B1880,辅助信息!E:J,6,FALSE)</f>
        <v>提前联系到场规格</v>
      </c>
      <c r="M1880" s="91">
        <v>45827</v>
      </c>
      <c r="O1880" s="62">
        <f ca="1" t="shared" si="113"/>
        <v>0</v>
      </c>
      <c r="P1880" s="62">
        <f ca="1" t="shared" si="114"/>
        <v>133</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0">
        <v>45826</v>
      </c>
      <c r="D1881" s="120" t="str">
        <f>VLOOKUP(B1881,辅助信息!E:K,7,FALSE)</f>
        <v>JWDDCD2025051800046</v>
      </c>
      <c r="E1881" s="120" t="str">
        <f>VLOOKUP(F1881,辅助信息!A:B,2,FALSE)</f>
        <v>盘螺</v>
      </c>
      <c r="F1881" s="40" t="s">
        <v>40</v>
      </c>
      <c r="G1881" s="36">
        <f>34-7.5</f>
        <v>26.5</v>
      </c>
      <c r="H1881" s="121" t="str">
        <f>_xlfn.XLOOKUP(C1881&amp;F1881&amp;I1881&amp;J1881,'[1]2025年已发货'!$F:$F&amp;'[1]2025年已发货'!$C:$C&amp;'[1]2025年已发货'!$G:$G&amp;'[1]2025年已发货'!$H:$H,'[1]2025年已发货'!$E:$E,"未发货")</f>
        <v>未发货</v>
      </c>
      <c r="I1881" s="120" t="str">
        <f>VLOOKUP(B1881,辅助信息!E:I,3,FALSE)</f>
        <v>（华西萌海科创农业生态谷）成都市简阳市白金山水库</v>
      </c>
      <c r="J1881" s="120" t="str">
        <f>VLOOKUP(B1881,辅助信息!E:I,4,FALSE)</f>
        <v>石清国</v>
      </c>
      <c r="K1881" s="120">
        <f>VLOOKUP(J1881,辅助信息!H:I,2,FALSE)</f>
        <v>13458642015</v>
      </c>
      <c r="L1881" s="122" t="str">
        <f>VLOOKUP(B1881,辅助信息!E:J,6,FALSE)</f>
        <v>优先威钢,我方卸车,新老国标钢厂不加价可直发</v>
      </c>
      <c r="M1881" s="91">
        <v>45828</v>
      </c>
      <c r="O1881" s="62">
        <f ca="1" t="shared" ref="O1881:O1890" si="115">IF(OR(M1881="",N1881&lt;&gt;""),"",MAX(M1881-TODAY(),0))</f>
        <v>0</v>
      </c>
      <c r="P1881" s="62">
        <f ca="1" t="shared" ref="P1881:P1890" si="116">IF(M1881="","",IF(N1881&lt;&gt;"",MAX(N1881-M1881,0),IF(TODAY()&gt;M1881,TODAY()-M1881,0)))</f>
        <v>132</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0">
        <v>45826</v>
      </c>
      <c r="D1882" s="120" t="str">
        <f>VLOOKUP(B1882,辅助信息!E:K,7,FALSE)</f>
        <v>JWDDCD2025051800046</v>
      </c>
      <c r="E1882" s="120" t="str">
        <f>VLOOKUP(F1882,辅助信息!A:B,2,FALSE)</f>
        <v>盘螺</v>
      </c>
      <c r="F1882" s="40" t="s">
        <v>41</v>
      </c>
      <c r="G1882" s="36">
        <v>10</v>
      </c>
      <c r="H1882" s="121" t="str">
        <f>_xlfn.XLOOKUP(C1882&amp;F1882&amp;I1882&amp;J1882,'[1]2025年已发货'!$F:$F&amp;'[1]2025年已发货'!$C:$C&amp;'[1]2025年已发货'!$G:$G&amp;'[1]2025年已发货'!$H:$H,'[1]2025年已发货'!$E:$E,"未发货")</f>
        <v>未发货</v>
      </c>
      <c r="I1882" s="120" t="str">
        <f>VLOOKUP(B1882,辅助信息!E:I,3,FALSE)</f>
        <v>（华西萌海科创农业生态谷）成都市简阳市白金山水库</v>
      </c>
      <c r="J1882" s="120" t="str">
        <f>VLOOKUP(B1882,辅助信息!E:I,4,FALSE)</f>
        <v>石清国</v>
      </c>
      <c r="K1882" s="120">
        <f>VLOOKUP(J1882,辅助信息!H:I,2,FALSE)</f>
        <v>13458642015</v>
      </c>
      <c r="L1882" s="122" t="str">
        <f>VLOOKUP(B1882,辅助信息!E:J,6,FALSE)</f>
        <v>优先威钢,我方卸车,新老国标钢厂不加价可直发</v>
      </c>
      <c r="M1882" s="91">
        <v>45828</v>
      </c>
      <c r="O1882" s="62">
        <f ca="1" t="shared" si="115"/>
        <v>0</v>
      </c>
      <c r="P1882" s="62">
        <f ca="1" t="shared" si="116"/>
        <v>132</v>
      </c>
      <c r="Q1882" s="29" t="str">
        <f>VLOOKUP(B1882,辅助信息!E:M,9,FALSE)</f>
        <v>ZTWM-CDGS-XS-2024-0092-华西-萌海科创农业生态谷</v>
      </c>
      <c r="R1882" s="29" t="str">
        <f>_xlfn._xlws.FILTER(辅助信息!D:D,辅助信息!E:E=B1882)</f>
        <v>华西萌海-科创农业生态谷</v>
      </c>
    </row>
    <row r="1883" hidden="1" spans="1:18">
      <c r="A1883" s="82" t="s">
        <v>172</v>
      </c>
      <c r="B1883" s="120" t="s">
        <v>147</v>
      </c>
      <c r="C1883" s="70">
        <v>45826</v>
      </c>
      <c r="D1883" s="120" t="str">
        <f>VLOOKUP(B1883,辅助信息!E:K,7,FALSE)</f>
        <v>JWDDCD2025052800131</v>
      </c>
      <c r="E1883" s="120" t="str">
        <f>VLOOKUP(F1883,辅助信息!A:B,2,FALSE)</f>
        <v>高线</v>
      </c>
      <c r="F1883" s="120" t="s">
        <v>57</v>
      </c>
      <c r="G1883" s="121">
        <v>9</v>
      </c>
      <c r="H1883" s="121" t="str">
        <f>_xlfn.XLOOKUP(C1883&amp;F1883&amp;I1883&amp;J1883,'[1]2025年已发货'!$F:$F&amp;'[1]2025年已发货'!$C:$C&amp;'[1]2025年已发货'!$G:$G&amp;'[1]2025年已发货'!$H:$H,'[1]2025年已发货'!$E:$E,"未发货")</f>
        <v>未发货</v>
      </c>
      <c r="I1883" s="120" t="str">
        <f>VLOOKUP(B1883,辅助信息!E:I,3,FALSE)</f>
        <v>（商投建工达州中医药科技园-4工区-11号楼）达州市通川区达州中医药职业学院犀牛大道北段</v>
      </c>
      <c r="J1883" s="120" t="str">
        <f>VLOOKUP(B1883,辅助信息!E:I,4,FALSE)</f>
        <v>张扬</v>
      </c>
      <c r="K1883" s="120">
        <f>VLOOKUP(J1883,辅助信息!H:I,2,FALSE)</f>
        <v>18381904567</v>
      </c>
      <c r="L1883" s="122" t="str">
        <f>VLOOKUP(B1883,辅助信息!E:J,6,FALSE)</f>
        <v>控制炉批号！多了现场不收！,优先安排达钢,提前联系到场规格及数量</v>
      </c>
      <c r="M1883" s="91">
        <v>45828</v>
      </c>
      <c r="O1883" s="62">
        <f ca="1" t="shared" si="115"/>
        <v>0</v>
      </c>
      <c r="P1883" s="62">
        <f ca="1" t="shared" si="116"/>
        <v>132</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2"/>
      <c r="B1884" s="120" t="s">
        <v>147</v>
      </c>
      <c r="C1884" s="70">
        <v>45826</v>
      </c>
      <c r="D1884" s="120" t="str">
        <f>VLOOKUP(B1884,辅助信息!E:K,7,FALSE)</f>
        <v>JWDDCD2025052800131</v>
      </c>
      <c r="E1884" s="120" t="str">
        <f>VLOOKUP(F1884,辅助信息!A:B,2,FALSE)</f>
        <v>螺纹钢</v>
      </c>
      <c r="F1884" s="120" t="s">
        <v>32</v>
      </c>
      <c r="G1884" s="121">
        <v>12</v>
      </c>
      <c r="H1884" s="121" t="str">
        <f>_xlfn.XLOOKUP(C1884&amp;F1884&amp;I1884&amp;J1884,'[1]2025年已发货'!$F:$F&amp;'[1]2025年已发货'!$C:$C&amp;'[1]2025年已发货'!$G:$G&amp;'[1]2025年已发货'!$H:$H,'[1]2025年已发货'!$E:$E,"未发货")</f>
        <v>未发货</v>
      </c>
      <c r="I1884" s="120" t="str">
        <f>VLOOKUP(B1884,辅助信息!E:I,3,FALSE)</f>
        <v>（商投建工达州中医药科技园-4工区-11号楼）达州市通川区达州中医药职业学院犀牛大道北段</v>
      </c>
      <c r="J1884" s="120" t="str">
        <f>VLOOKUP(B1884,辅助信息!E:I,4,FALSE)</f>
        <v>张扬</v>
      </c>
      <c r="K1884" s="120">
        <f>VLOOKUP(J1884,辅助信息!H:I,2,FALSE)</f>
        <v>18381904567</v>
      </c>
      <c r="L1884" s="122" t="str">
        <f>VLOOKUP(B1884,辅助信息!E:J,6,FALSE)</f>
        <v>控制炉批号！多了现场不收！,优先安排达钢,提前联系到场规格及数量</v>
      </c>
      <c r="M1884" s="91">
        <v>45828</v>
      </c>
      <c r="O1884" s="62">
        <f ca="1" t="shared" si="115"/>
        <v>0</v>
      </c>
      <c r="P1884" s="62">
        <f ca="1" t="shared" si="116"/>
        <v>132</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2"/>
      <c r="B1885" s="120" t="s">
        <v>147</v>
      </c>
      <c r="C1885" s="70">
        <v>45826</v>
      </c>
      <c r="D1885" s="120" t="str">
        <f>VLOOKUP(B1885,辅助信息!E:K,7,FALSE)</f>
        <v>JWDDCD2025052800131</v>
      </c>
      <c r="E1885" s="120" t="str">
        <f>VLOOKUP(F1885,辅助信息!A:B,2,FALSE)</f>
        <v>螺纹钢</v>
      </c>
      <c r="F1885" s="120" t="s">
        <v>30</v>
      </c>
      <c r="G1885" s="121">
        <v>3</v>
      </c>
      <c r="H1885" s="121" t="str">
        <f>_xlfn.XLOOKUP(C1885&amp;F1885&amp;I1885&amp;J1885,'[1]2025年已发货'!$F:$F&amp;'[1]2025年已发货'!$C:$C&amp;'[1]2025年已发货'!$G:$G&amp;'[1]2025年已发货'!$H:$H,'[1]2025年已发货'!$E:$E,"未发货")</f>
        <v>未发货</v>
      </c>
      <c r="I1885" s="120" t="str">
        <f>VLOOKUP(B1885,辅助信息!E:I,3,FALSE)</f>
        <v>（商投建工达州中医药科技园-4工区-11号楼）达州市通川区达州中医药职业学院犀牛大道北段</v>
      </c>
      <c r="J1885" s="120" t="str">
        <f>VLOOKUP(B1885,辅助信息!E:I,4,FALSE)</f>
        <v>张扬</v>
      </c>
      <c r="K1885" s="120">
        <f>VLOOKUP(J1885,辅助信息!H:I,2,FALSE)</f>
        <v>18381904567</v>
      </c>
      <c r="L1885" s="122" t="str">
        <f>VLOOKUP(B1885,辅助信息!E:J,6,FALSE)</f>
        <v>控制炉批号！多了现场不收！,优先安排达钢,提前联系到场规格及数量</v>
      </c>
      <c r="M1885" s="91">
        <v>45828</v>
      </c>
      <c r="O1885" s="62">
        <f ca="1" t="shared" si="115"/>
        <v>0</v>
      </c>
      <c r="P1885" s="62">
        <f ca="1" t="shared" si="116"/>
        <v>132</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2"/>
      <c r="B1886" s="120" t="s">
        <v>147</v>
      </c>
      <c r="C1886" s="70">
        <v>45826</v>
      </c>
      <c r="D1886" s="120" t="str">
        <f>VLOOKUP(B1886,辅助信息!E:K,7,FALSE)</f>
        <v>JWDDCD2025052800131</v>
      </c>
      <c r="E1886" s="120" t="str">
        <f>VLOOKUP(F1886,辅助信息!A:B,2,FALSE)</f>
        <v>螺纹钢</v>
      </c>
      <c r="F1886" s="120" t="s">
        <v>28</v>
      </c>
      <c r="G1886" s="121">
        <v>3</v>
      </c>
      <c r="H1886" s="121" t="str">
        <f>_xlfn.XLOOKUP(C1886&amp;F1886&amp;I1886&amp;J1886,'[1]2025年已发货'!$F:$F&amp;'[1]2025年已发货'!$C:$C&amp;'[1]2025年已发货'!$G:$G&amp;'[1]2025年已发货'!$H:$H,'[1]2025年已发货'!$E:$E,"未发货")</f>
        <v>未发货</v>
      </c>
      <c r="I1886" s="120" t="str">
        <f>VLOOKUP(B1886,辅助信息!E:I,3,FALSE)</f>
        <v>（商投建工达州中医药科技园-4工区-11号楼）达州市通川区达州中医药职业学院犀牛大道北段</v>
      </c>
      <c r="J1886" s="120" t="str">
        <f>VLOOKUP(B1886,辅助信息!E:I,4,FALSE)</f>
        <v>张扬</v>
      </c>
      <c r="K1886" s="120">
        <f>VLOOKUP(J1886,辅助信息!H:I,2,FALSE)</f>
        <v>18381904567</v>
      </c>
      <c r="L1886" s="122" t="str">
        <f>VLOOKUP(B1886,辅助信息!E:J,6,FALSE)</f>
        <v>控制炉批号！多了现场不收！,优先安排达钢,提前联系到场规格及数量</v>
      </c>
      <c r="M1886" s="91">
        <v>45828</v>
      </c>
      <c r="O1886" s="62">
        <f ca="1" t="shared" si="115"/>
        <v>0</v>
      </c>
      <c r="P1886" s="62">
        <f ca="1" t="shared" si="116"/>
        <v>132</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2"/>
      <c r="B1887" s="120" t="s">
        <v>147</v>
      </c>
      <c r="C1887" s="70">
        <v>45826</v>
      </c>
      <c r="D1887" s="120" t="str">
        <f>VLOOKUP(B1887,辅助信息!E:K,7,FALSE)</f>
        <v>JWDDCD2025052800131</v>
      </c>
      <c r="E1887" s="120" t="str">
        <f>VLOOKUP(F1887,辅助信息!A:B,2,FALSE)</f>
        <v>螺纹钢</v>
      </c>
      <c r="F1887" s="120" t="s">
        <v>18</v>
      </c>
      <c r="G1887" s="121">
        <v>15</v>
      </c>
      <c r="H1887" s="121" t="str">
        <f>_xlfn.XLOOKUP(C1887&amp;F1887&amp;I1887&amp;J1887,'[1]2025年已发货'!$F:$F&amp;'[1]2025年已发货'!$C:$C&amp;'[1]2025年已发货'!$G:$G&amp;'[1]2025年已发货'!$H:$H,'[1]2025年已发货'!$E:$E,"未发货")</f>
        <v>未发货</v>
      </c>
      <c r="I1887" s="120" t="str">
        <f>VLOOKUP(B1887,辅助信息!E:I,3,FALSE)</f>
        <v>（商投建工达州中医药科技园-4工区-11号楼）达州市通川区达州中医药职业学院犀牛大道北段</v>
      </c>
      <c r="J1887" s="120" t="str">
        <f>VLOOKUP(B1887,辅助信息!E:I,4,FALSE)</f>
        <v>张扬</v>
      </c>
      <c r="K1887" s="120">
        <f>VLOOKUP(J1887,辅助信息!H:I,2,FALSE)</f>
        <v>18381904567</v>
      </c>
      <c r="L1887" s="122" t="str">
        <f>VLOOKUP(B1887,辅助信息!E:J,6,FALSE)</f>
        <v>控制炉批号！多了现场不收！,优先安排达钢,提前联系到场规格及数量</v>
      </c>
      <c r="M1887" s="91">
        <v>45828</v>
      </c>
      <c r="O1887" s="62">
        <f ca="1" t="shared" si="115"/>
        <v>0</v>
      </c>
      <c r="P1887" s="62">
        <f ca="1" t="shared" si="116"/>
        <v>132</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2" t="s">
        <v>173</v>
      </c>
      <c r="B1888" s="120" t="s">
        <v>163</v>
      </c>
      <c r="C1888" s="70">
        <v>45826</v>
      </c>
      <c r="D1888" s="120" t="str">
        <f>VLOOKUP(B1888,辅助信息!E:K,7,FALSE)</f>
        <v>JWDDCD2025052800131</v>
      </c>
      <c r="E1888" s="120" t="str">
        <f>VLOOKUP(F1888,辅助信息!A:B,2,FALSE)</f>
        <v>盘螺</v>
      </c>
      <c r="F1888" s="120" t="s">
        <v>40</v>
      </c>
      <c r="G1888" s="121">
        <v>18</v>
      </c>
      <c r="H1888" s="121" t="str">
        <f>_xlfn.XLOOKUP(C1888&amp;F1888&amp;I1888&amp;J1888,'[1]2025年已发货'!$F:$F&amp;'[1]2025年已发货'!$C:$C&amp;'[1]2025年已发货'!$G:$G&amp;'[1]2025年已发货'!$H:$H,'[1]2025年已发货'!$E:$E,"未发货")</f>
        <v>未发货</v>
      </c>
      <c r="I1888" s="120" t="str">
        <f>VLOOKUP(B1888,辅助信息!E:I,3,FALSE)</f>
        <v>（商投建工达州中医药科技园-4工区-9号楼）达州市通川区达州中医药职业学院犀牛大道北段</v>
      </c>
      <c r="J1888" s="120" t="str">
        <f>VLOOKUP(B1888,辅助信息!E:I,4,FALSE)</f>
        <v>张扬</v>
      </c>
      <c r="K1888" s="120">
        <f>VLOOKUP(J1888,辅助信息!H:I,2,FALSE)</f>
        <v>18381904567</v>
      </c>
      <c r="L1888" s="122" t="str">
        <f>VLOOKUP(B1888,辅助信息!E:J,6,FALSE)</f>
        <v>控制炉批号！多了现场不收！,优先安排达钢,提前联系到场规格及数量</v>
      </c>
      <c r="M1888" s="91">
        <v>45828</v>
      </c>
      <c r="O1888" s="62">
        <f ca="1" t="shared" ref="O1888:O1908" si="117">IF(OR(M1888="",N1888&lt;&gt;""),"",MAX(M1888-TODAY(),0))</f>
        <v>0</v>
      </c>
      <c r="P1888" s="62">
        <f ca="1" t="shared" ref="P1888:P1908" si="118">IF(M1888="","",IF(N1888&lt;&gt;"",MAX(N1888-M1888,0),IF(TODAY()&gt;M1888,TODAY()-M1888,0)))</f>
        <v>132</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2"/>
      <c r="B1889" s="120" t="s">
        <v>163</v>
      </c>
      <c r="C1889" s="70">
        <v>45826</v>
      </c>
      <c r="D1889" s="120" t="str">
        <f>VLOOKUP(B1889,辅助信息!E:K,7,FALSE)</f>
        <v>JWDDCD2025052800131</v>
      </c>
      <c r="E1889" s="120" t="str">
        <f>VLOOKUP(F1889,辅助信息!A:B,2,FALSE)</f>
        <v>螺纹钢</v>
      </c>
      <c r="F1889" s="120" t="s">
        <v>32</v>
      </c>
      <c r="G1889" s="121">
        <v>6</v>
      </c>
      <c r="H1889" s="121" t="str">
        <f>_xlfn.XLOOKUP(C1889&amp;F1889&amp;I1889&amp;J1889,'[1]2025年已发货'!$F:$F&amp;'[1]2025年已发货'!$C:$C&amp;'[1]2025年已发货'!$G:$G&amp;'[1]2025年已发货'!$H:$H,'[1]2025年已发货'!$E:$E,"未发货")</f>
        <v>未发货</v>
      </c>
      <c r="I1889" s="120" t="str">
        <f>VLOOKUP(B1889,辅助信息!E:I,3,FALSE)</f>
        <v>（商投建工达州中医药科技园-4工区-9号楼）达州市通川区达州中医药职业学院犀牛大道北段</v>
      </c>
      <c r="J1889" s="120" t="str">
        <f>VLOOKUP(B1889,辅助信息!E:I,4,FALSE)</f>
        <v>张扬</v>
      </c>
      <c r="K1889" s="120">
        <f>VLOOKUP(J1889,辅助信息!H:I,2,FALSE)</f>
        <v>18381904567</v>
      </c>
      <c r="L1889" s="122" t="str">
        <f>VLOOKUP(B1889,辅助信息!E:J,6,FALSE)</f>
        <v>控制炉批号！多了现场不收！,优先安排达钢,提前联系到场规格及数量</v>
      </c>
      <c r="M1889" s="91">
        <v>45828</v>
      </c>
      <c r="O1889" s="62">
        <f ca="1" t="shared" si="117"/>
        <v>0</v>
      </c>
      <c r="P1889" s="62">
        <f ca="1" t="shared" si="118"/>
        <v>132</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2"/>
      <c r="B1890" s="120" t="s">
        <v>163</v>
      </c>
      <c r="C1890" s="70">
        <v>45826</v>
      </c>
      <c r="D1890" s="120" t="str">
        <f>VLOOKUP(B1890,辅助信息!E:K,7,FALSE)</f>
        <v>JWDDCD2025052800131</v>
      </c>
      <c r="E1890" s="120" t="str">
        <f>VLOOKUP(F1890,辅助信息!A:B,2,FALSE)</f>
        <v>螺纹钢</v>
      </c>
      <c r="F1890" s="120" t="s">
        <v>30</v>
      </c>
      <c r="G1890" s="121">
        <f>6+9</f>
        <v>15</v>
      </c>
      <c r="H1890" s="121" t="str">
        <f>_xlfn.XLOOKUP(C1890&amp;F1890&amp;I1890&amp;J1890,'[1]2025年已发货'!$F:$F&amp;'[1]2025年已发货'!$C:$C&amp;'[1]2025年已发货'!$G:$G&amp;'[1]2025年已发货'!$H:$H,'[1]2025年已发货'!$E:$E,"未发货")</f>
        <v>未发货</v>
      </c>
      <c r="I1890" s="120" t="str">
        <f>VLOOKUP(B1890,辅助信息!E:I,3,FALSE)</f>
        <v>（商投建工达州中医药科技园-4工区-9号楼）达州市通川区达州中医药职业学院犀牛大道北段</v>
      </c>
      <c r="J1890" s="120" t="str">
        <f>VLOOKUP(B1890,辅助信息!E:I,4,FALSE)</f>
        <v>张扬</v>
      </c>
      <c r="K1890" s="120">
        <f>VLOOKUP(J1890,辅助信息!H:I,2,FALSE)</f>
        <v>18381904567</v>
      </c>
      <c r="L1890" s="122" t="str">
        <f>VLOOKUP(B1890,辅助信息!E:J,6,FALSE)</f>
        <v>控制炉批号！多了现场不收！,优先安排达钢,提前联系到场规格及数量</v>
      </c>
      <c r="M1890" s="91">
        <v>45828</v>
      </c>
      <c r="O1890" s="62">
        <f ca="1" t="shared" si="117"/>
        <v>0</v>
      </c>
      <c r="P1890" s="62">
        <f ca="1" t="shared" si="118"/>
        <v>132</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0">
        <v>45826</v>
      </c>
      <c r="D1891" s="120" t="str">
        <f>VLOOKUP(B1891,辅助信息!E:K,7,FALSE)</f>
        <v>JWDDCD2025060900080</v>
      </c>
      <c r="E1891" s="120" t="str">
        <f>VLOOKUP(F1891,辅助信息!A:B,2,FALSE)</f>
        <v>盘螺</v>
      </c>
      <c r="F1891" s="40" t="s">
        <v>40</v>
      </c>
      <c r="G1891" s="36">
        <v>5</v>
      </c>
      <c r="H1891" s="121" t="str">
        <f>_xlfn.XLOOKUP(C1891&amp;F1891&amp;I1891&amp;J1891,'[1]2025年已发货'!$F:$F&amp;'[1]2025年已发货'!$C:$C&amp;'[1]2025年已发货'!$G:$G&amp;'[1]2025年已发货'!$H:$H,'[1]2025年已发货'!$E:$E,"未发货")</f>
        <v>未发货</v>
      </c>
      <c r="I1891" s="120" t="str">
        <f>VLOOKUP(B1891,辅助信息!E:I,3,FALSE)</f>
        <v>（华西简阳西城嘉苑）四川省成都市简阳市简城街道高屋村</v>
      </c>
      <c r="J1891" s="120" t="str">
        <f>VLOOKUP(B1891,辅助信息!E:I,4,FALSE)</f>
        <v>张瀚镭</v>
      </c>
      <c r="K1891" s="120">
        <f>VLOOKUP(J1891,辅助信息!H:I,2,FALSE)</f>
        <v>15884666220</v>
      </c>
      <c r="L1891" s="122" t="str">
        <f>VLOOKUP(B1891,辅助信息!E:J,6,FALSE)</f>
        <v>现场禁止使用氢能源挂车！优先威钢发货,我方卸车,新老国标钢厂不加价可直发，因陕钢多次出现磅差，项目拒绝使用</v>
      </c>
      <c r="M1891" s="91">
        <v>45828</v>
      </c>
      <c r="O1891" s="62">
        <f ca="1" t="shared" si="117"/>
        <v>0</v>
      </c>
      <c r="P1891" s="62">
        <f ca="1" t="shared" si="118"/>
        <v>132</v>
      </c>
      <c r="Q1891" s="29" t="str">
        <f>VLOOKUP(B1891,辅助信息!E:M,9,FALSE)</f>
        <v>ZTWM-CDGS-XS-2024-0030-华西集采-简州大道</v>
      </c>
      <c r="R1891" s="29" t="str">
        <f>_xlfn._xlws.FILTER(辅助信息!D:D,辅助信息!E:E=B1891)</f>
        <v>华西简阳西城嘉苑</v>
      </c>
    </row>
    <row r="1892" hidden="1" spans="2:18">
      <c r="B1892" s="40" t="s">
        <v>81</v>
      </c>
      <c r="C1892" s="70">
        <v>45826</v>
      </c>
      <c r="D1892" s="120" t="str">
        <f>VLOOKUP(B1892,辅助信息!E:K,7,FALSE)</f>
        <v>JWDDCD2025060900080</v>
      </c>
      <c r="E1892" s="120" t="str">
        <f>VLOOKUP(F1892,辅助信息!A:B,2,FALSE)</f>
        <v>螺纹钢</v>
      </c>
      <c r="F1892" s="40" t="s">
        <v>19</v>
      </c>
      <c r="G1892" s="36">
        <v>66</v>
      </c>
      <c r="H1892" s="121" t="str">
        <f>_xlfn.XLOOKUP(C1892&amp;F1892&amp;I1892&amp;J1892,'[1]2025年已发货'!$F:$F&amp;'[1]2025年已发货'!$C:$C&amp;'[1]2025年已发货'!$G:$G&amp;'[1]2025年已发货'!$H:$H,'[1]2025年已发货'!$E:$E,"未发货")</f>
        <v>未发货</v>
      </c>
      <c r="I1892" s="120" t="str">
        <f>VLOOKUP(B1892,辅助信息!E:I,3,FALSE)</f>
        <v>（华西简阳西城嘉苑）四川省成都市简阳市简城街道高屋村</v>
      </c>
      <c r="J1892" s="120" t="str">
        <f>VLOOKUP(B1892,辅助信息!E:I,4,FALSE)</f>
        <v>张瀚镭</v>
      </c>
      <c r="K1892" s="120">
        <f>VLOOKUP(J1892,辅助信息!H:I,2,FALSE)</f>
        <v>15884666220</v>
      </c>
      <c r="L1892" s="122" t="str">
        <f>VLOOKUP(B1892,辅助信息!E:J,6,FALSE)</f>
        <v>现场禁止使用氢能源挂车！优先威钢发货,我方卸车,新老国标钢厂不加价可直发，因陕钢多次出现磅差，项目拒绝使用</v>
      </c>
      <c r="M1892" s="91">
        <v>45828</v>
      </c>
      <c r="O1892" s="62">
        <f ca="1" t="shared" si="117"/>
        <v>0</v>
      </c>
      <c r="P1892" s="62">
        <f ca="1" t="shared" si="118"/>
        <v>132</v>
      </c>
      <c r="Q1892" s="29" t="str">
        <f>VLOOKUP(B1892,辅助信息!E:M,9,FALSE)</f>
        <v>ZTWM-CDGS-XS-2024-0030-华西集采-简州大道</v>
      </c>
      <c r="R1892" s="29" t="str">
        <f>_xlfn._xlws.FILTER(辅助信息!D:D,辅助信息!E:E=B1892)</f>
        <v>华西简阳西城嘉苑</v>
      </c>
    </row>
    <row r="1893" hidden="1" spans="2:18">
      <c r="B1893" s="40" t="s">
        <v>81</v>
      </c>
      <c r="C1893" s="70">
        <v>45826</v>
      </c>
      <c r="D1893" s="120" t="str">
        <f>VLOOKUP(B1893,辅助信息!E:K,7,FALSE)</f>
        <v>JWDDCD2025060900080</v>
      </c>
      <c r="E1893" s="120" t="str">
        <f>VLOOKUP(F1893,辅助信息!A:B,2,FALSE)</f>
        <v>螺纹钢</v>
      </c>
      <c r="F1893" s="40" t="s">
        <v>32</v>
      </c>
      <c r="G1893" s="36">
        <v>3</v>
      </c>
      <c r="H1893" s="121" t="str">
        <f>_xlfn.XLOOKUP(C1893&amp;F1893&amp;I1893&amp;J1893,'[1]2025年已发货'!$F:$F&amp;'[1]2025年已发货'!$C:$C&amp;'[1]2025年已发货'!$G:$G&amp;'[1]2025年已发货'!$H:$H,'[1]2025年已发货'!$E:$E,"未发货")</f>
        <v>未发货</v>
      </c>
      <c r="I1893" s="120" t="str">
        <f>VLOOKUP(B1893,辅助信息!E:I,3,FALSE)</f>
        <v>（华西简阳西城嘉苑）四川省成都市简阳市简城街道高屋村</v>
      </c>
      <c r="J1893" s="120" t="str">
        <f>VLOOKUP(B1893,辅助信息!E:I,4,FALSE)</f>
        <v>张瀚镭</v>
      </c>
      <c r="K1893" s="120">
        <f>VLOOKUP(J1893,辅助信息!H:I,2,FALSE)</f>
        <v>15884666220</v>
      </c>
      <c r="L1893" s="122" t="str">
        <f>VLOOKUP(B1893,辅助信息!E:J,6,FALSE)</f>
        <v>现场禁止使用氢能源挂车！优先威钢发货,我方卸车,新老国标钢厂不加价可直发，因陕钢多次出现磅差，项目拒绝使用</v>
      </c>
      <c r="M1893" s="91">
        <v>45828</v>
      </c>
      <c r="O1893" s="62">
        <f ca="1" t="shared" si="117"/>
        <v>0</v>
      </c>
      <c r="P1893" s="62">
        <f ca="1" t="shared" si="118"/>
        <v>132</v>
      </c>
      <c r="Q1893" s="29" t="str">
        <f>VLOOKUP(B1893,辅助信息!E:M,9,FALSE)</f>
        <v>ZTWM-CDGS-XS-2024-0030-华西集采-简州大道</v>
      </c>
      <c r="R1893" s="29" t="str">
        <f>_xlfn._xlws.FILTER(辅助信息!D:D,辅助信息!E:E=B1893)</f>
        <v>华西简阳西城嘉苑</v>
      </c>
    </row>
    <row r="1894" hidden="1" spans="2:18">
      <c r="B1894" s="40" t="s">
        <v>81</v>
      </c>
      <c r="C1894" s="70">
        <v>45826</v>
      </c>
      <c r="D1894" s="120" t="str">
        <f>VLOOKUP(B1894,辅助信息!E:K,7,FALSE)</f>
        <v>JWDDCD2025060900080</v>
      </c>
      <c r="E1894" s="120" t="str">
        <f>VLOOKUP(F1894,辅助信息!A:B,2,FALSE)</f>
        <v>螺纹钢</v>
      </c>
      <c r="F1894" s="40" t="s">
        <v>30</v>
      </c>
      <c r="G1894" s="36">
        <v>3</v>
      </c>
      <c r="H1894" s="121" t="str">
        <f>_xlfn.XLOOKUP(C1894&amp;F1894&amp;I1894&amp;J1894,'[1]2025年已发货'!$F:$F&amp;'[1]2025年已发货'!$C:$C&amp;'[1]2025年已发货'!$G:$G&amp;'[1]2025年已发货'!$H:$H,'[1]2025年已发货'!$E:$E,"未发货")</f>
        <v>未发货</v>
      </c>
      <c r="I1894" s="120" t="str">
        <f>VLOOKUP(B1894,辅助信息!E:I,3,FALSE)</f>
        <v>（华西简阳西城嘉苑）四川省成都市简阳市简城街道高屋村</v>
      </c>
      <c r="J1894" s="120" t="str">
        <f>VLOOKUP(B1894,辅助信息!E:I,4,FALSE)</f>
        <v>张瀚镭</v>
      </c>
      <c r="K1894" s="120">
        <f>VLOOKUP(J1894,辅助信息!H:I,2,FALSE)</f>
        <v>15884666220</v>
      </c>
      <c r="L1894" s="122" t="str">
        <f>VLOOKUP(B1894,辅助信息!E:J,6,FALSE)</f>
        <v>现场禁止使用氢能源挂车！优先威钢发货,我方卸车,新老国标钢厂不加价可直发，因陕钢多次出现磅差，项目拒绝使用</v>
      </c>
      <c r="M1894" s="91">
        <v>45828</v>
      </c>
      <c r="O1894" s="62">
        <f ca="1" t="shared" si="117"/>
        <v>0</v>
      </c>
      <c r="P1894" s="62">
        <f ca="1" t="shared" si="118"/>
        <v>132</v>
      </c>
      <c r="Q1894" s="29" t="str">
        <f>VLOOKUP(B1894,辅助信息!E:M,9,FALSE)</f>
        <v>ZTWM-CDGS-XS-2024-0030-华西集采-简州大道</v>
      </c>
      <c r="R1894" s="29" t="str">
        <f>_xlfn._xlws.FILTER(辅助信息!D:D,辅助信息!E:E=B1894)</f>
        <v>华西简阳西城嘉苑</v>
      </c>
    </row>
    <row r="1895" hidden="1" spans="2:18">
      <c r="B1895" s="40" t="s">
        <v>81</v>
      </c>
      <c r="C1895" s="70">
        <v>45826</v>
      </c>
      <c r="D1895" s="120" t="str">
        <f>VLOOKUP(B1895,辅助信息!E:K,7,FALSE)</f>
        <v>JWDDCD2025060900080</v>
      </c>
      <c r="E1895" s="120" t="str">
        <f>VLOOKUP(F1895,辅助信息!A:B,2,FALSE)</f>
        <v>螺纹钢</v>
      </c>
      <c r="F1895" s="40" t="s">
        <v>33</v>
      </c>
      <c r="G1895" s="36">
        <v>21</v>
      </c>
      <c r="H1895" s="121" t="str">
        <f>_xlfn.XLOOKUP(C1895&amp;F1895&amp;I1895&amp;J1895,'[1]2025年已发货'!$F:$F&amp;'[1]2025年已发货'!$C:$C&amp;'[1]2025年已发货'!$G:$G&amp;'[1]2025年已发货'!$H:$H,'[1]2025年已发货'!$E:$E,"未发货")</f>
        <v>未发货</v>
      </c>
      <c r="I1895" s="120" t="str">
        <f>VLOOKUP(B1895,辅助信息!E:I,3,FALSE)</f>
        <v>（华西简阳西城嘉苑）四川省成都市简阳市简城街道高屋村</v>
      </c>
      <c r="J1895" s="120" t="str">
        <f>VLOOKUP(B1895,辅助信息!E:I,4,FALSE)</f>
        <v>张瀚镭</v>
      </c>
      <c r="K1895" s="120">
        <f>VLOOKUP(J1895,辅助信息!H:I,2,FALSE)</f>
        <v>15884666220</v>
      </c>
      <c r="L1895" s="122" t="str">
        <f>VLOOKUP(B1895,辅助信息!E:J,6,FALSE)</f>
        <v>现场禁止使用氢能源挂车！优先威钢发货,我方卸车,新老国标钢厂不加价可直发，因陕钢多次出现磅差，项目拒绝使用</v>
      </c>
      <c r="M1895" s="91">
        <v>45828</v>
      </c>
      <c r="O1895" s="62">
        <f ca="1" t="shared" si="117"/>
        <v>0</v>
      </c>
      <c r="P1895" s="62">
        <f ca="1" t="shared" si="118"/>
        <v>132</v>
      </c>
      <c r="Q1895" s="29" t="str">
        <f>VLOOKUP(B1895,辅助信息!E:M,9,FALSE)</f>
        <v>ZTWM-CDGS-XS-2024-0030-华西集采-简州大道</v>
      </c>
      <c r="R1895" s="29" t="str">
        <f>_xlfn._xlws.FILTER(辅助信息!D:D,辅助信息!E:E=B1895)</f>
        <v>华西简阳西城嘉苑</v>
      </c>
    </row>
    <row r="1896" hidden="1" spans="2:18">
      <c r="B1896" s="40" t="s">
        <v>81</v>
      </c>
      <c r="C1896" s="70">
        <v>45826</v>
      </c>
      <c r="D1896" s="120" t="str">
        <f>VLOOKUP(B1896,辅助信息!E:K,7,FALSE)</f>
        <v>JWDDCD2025060900080</v>
      </c>
      <c r="E1896" s="120" t="str">
        <f>VLOOKUP(F1896,辅助信息!A:B,2,FALSE)</f>
        <v>螺纹钢</v>
      </c>
      <c r="F1896" s="40" t="s">
        <v>28</v>
      </c>
      <c r="G1896" s="36">
        <v>3</v>
      </c>
      <c r="H1896" s="121" t="str">
        <f>_xlfn.XLOOKUP(C1896&amp;F1896&amp;I1896&amp;J1896,'[1]2025年已发货'!$F:$F&amp;'[1]2025年已发货'!$C:$C&amp;'[1]2025年已发货'!$G:$G&amp;'[1]2025年已发货'!$H:$H,'[1]2025年已发货'!$E:$E,"未发货")</f>
        <v>未发货</v>
      </c>
      <c r="I1896" s="120" t="str">
        <f>VLOOKUP(B1896,辅助信息!E:I,3,FALSE)</f>
        <v>（华西简阳西城嘉苑）四川省成都市简阳市简城街道高屋村</v>
      </c>
      <c r="J1896" s="120" t="str">
        <f>VLOOKUP(B1896,辅助信息!E:I,4,FALSE)</f>
        <v>张瀚镭</v>
      </c>
      <c r="K1896" s="120">
        <f>VLOOKUP(J1896,辅助信息!H:I,2,FALSE)</f>
        <v>15884666220</v>
      </c>
      <c r="L1896" s="122" t="str">
        <f>VLOOKUP(B1896,辅助信息!E:J,6,FALSE)</f>
        <v>现场禁止使用氢能源挂车！优先威钢发货,我方卸车,新老国标钢厂不加价可直发，因陕钢多次出现磅差，项目拒绝使用</v>
      </c>
      <c r="M1896" s="91">
        <v>45828</v>
      </c>
      <c r="O1896" s="62">
        <f ca="1" t="shared" si="117"/>
        <v>0</v>
      </c>
      <c r="P1896" s="62">
        <f ca="1" t="shared" si="118"/>
        <v>132</v>
      </c>
      <c r="Q1896" s="29" t="str">
        <f>VLOOKUP(B1896,辅助信息!E:M,9,FALSE)</f>
        <v>ZTWM-CDGS-XS-2024-0030-华西集采-简州大道</v>
      </c>
      <c r="R1896" s="29" t="str">
        <f>_xlfn._xlws.FILTER(辅助信息!D:D,辅助信息!E:E=B1896)</f>
        <v>华西简阳西城嘉苑</v>
      </c>
    </row>
    <row r="1897" hidden="1" spans="2:18">
      <c r="B1897" s="83" t="s">
        <v>81</v>
      </c>
      <c r="C1897" s="84">
        <v>45826</v>
      </c>
      <c r="D1897" s="124" t="str">
        <f>VLOOKUP(B1897,辅助信息!E:K,7,FALSE)</f>
        <v>JWDDCD2025060900080</v>
      </c>
      <c r="E1897" s="124" t="str">
        <f>VLOOKUP(F1897,辅助信息!A:B,2,FALSE)</f>
        <v>螺纹钢</v>
      </c>
      <c r="F1897" s="83" t="s">
        <v>18</v>
      </c>
      <c r="G1897" s="85">
        <v>5</v>
      </c>
      <c r="H1897" s="125" t="str">
        <f>_xlfn.XLOOKUP(C1897&amp;F1897&amp;I1897&amp;J1897,'[1]2025年已发货'!$F:$F&amp;'[1]2025年已发货'!$C:$C&amp;'[1]2025年已发货'!$G:$G&amp;'[1]2025年已发货'!$H:$H,'[1]2025年已发货'!$E:$E,"未发货")</f>
        <v>未发货</v>
      </c>
      <c r="I1897" s="120" t="str">
        <f>VLOOKUP(B1897,辅助信息!E:I,3,FALSE)</f>
        <v>（华西简阳西城嘉苑）四川省成都市简阳市简城街道高屋村</v>
      </c>
      <c r="J1897" s="120" t="str">
        <f>VLOOKUP(B1897,辅助信息!E:I,4,FALSE)</f>
        <v>张瀚镭</v>
      </c>
      <c r="K1897" s="120">
        <f>VLOOKUP(J1897,辅助信息!H:I,2,FALSE)</f>
        <v>15884666220</v>
      </c>
      <c r="L1897" s="122" t="str">
        <f>VLOOKUP(B1897,辅助信息!E:J,6,FALSE)</f>
        <v>现场禁止使用氢能源挂车！优先威钢发货,我方卸车,新老国标钢厂不加价可直发，因陕钢多次出现磅差，项目拒绝使用</v>
      </c>
      <c r="M1897" s="91">
        <v>45828</v>
      </c>
      <c r="O1897" s="62">
        <f ca="1" t="shared" si="117"/>
        <v>0</v>
      </c>
      <c r="P1897" s="62">
        <f ca="1" t="shared" si="118"/>
        <v>132</v>
      </c>
      <c r="Q1897" s="29" t="str">
        <f>VLOOKUP(B1897,辅助信息!E:M,9,FALSE)</f>
        <v>ZTWM-CDGS-XS-2024-0030-华西集采-简州大道</v>
      </c>
      <c r="R1897" s="29" t="str">
        <f>_xlfn._xlws.FILTER(辅助信息!D:D,辅助信息!E:E=B1897)</f>
        <v>华西简阳西城嘉苑</v>
      </c>
    </row>
    <row r="1898" hidden="1" spans="1:18">
      <c r="A1898" s="77" t="s">
        <v>174</v>
      </c>
      <c r="B1898" s="40" t="s">
        <v>31</v>
      </c>
      <c r="C1898" s="70">
        <v>45827</v>
      </c>
      <c r="D1898" s="120" t="str">
        <f>VLOOKUP(B1898,辅助信息!E:K,7,FALSE)</f>
        <v>JWDDCD2024121000136</v>
      </c>
      <c r="E1898" s="120" t="str">
        <f>VLOOKUP(F1898,辅助信息!A:B,2,FALSE)</f>
        <v>螺纹钢</v>
      </c>
      <c r="F1898" s="40" t="s">
        <v>18</v>
      </c>
      <c r="G1898" s="36">
        <v>12</v>
      </c>
      <c r="H1898" s="121">
        <f>_xlfn.XLOOKUP(C1898&amp;F1898&amp;I1898&amp;J1898,'[1]2025年已发货'!$F:$F&amp;'[1]2025年已发货'!$C:$C&amp;'[1]2025年已发货'!$G:$G&amp;'[1]2025年已发货'!$H:$H,'[1]2025年已发货'!$E:$E,"未发货")</f>
        <v>12</v>
      </c>
      <c r="I1898" s="120" t="str">
        <f>VLOOKUP(B1898,辅助信息!E:I,3,FALSE)</f>
        <v>（四川商建-射洪城乡一体化项目）遂宁市射洪市忠新幼儿园北侧约220米新溪小区</v>
      </c>
      <c r="J1898" s="120" t="str">
        <f>VLOOKUP(B1898,辅助信息!E:I,4,FALSE)</f>
        <v>柏子刚</v>
      </c>
      <c r="K1898" s="120">
        <f>VLOOKUP(J1898,辅助信息!H:I,2,FALSE)</f>
        <v>15692885305</v>
      </c>
      <c r="L1898" s="122" t="str">
        <f>VLOOKUP(B1898,辅助信息!E:J,6,FALSE)</f>
        <v>提前联系到场规格及数量</v>
      </c>
      <c r="M1898" s="91">
        <v>45828</v>
      </c>
      <c r="O1898" s="62">
        <f ca="1" t="shared" si="117"/>
        <v>0</v>
      </c>
      <c r="P1898" s="62">
        <f ca="1" t="shared" si="118"/>
        <v>132</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7"/>
      <c r="B1899" s="40" t="s">
        <v>31</v>
      </c>
      <c r="C1899" s="70">
        <v>45827</v>
      </c>
      <c r="D1899" s="120" t="str">
        <f>VLOOKUP(B1899,辅助信息!E:K,7,FALSE)</f>
        <v>JWDDCD2024121000136</v>
      </c>
      <c r="E1899" s="120" t="str">
        <f>VLOOKUP(F1899,辅助信息!A:B,2,FALSE)</f>
        <v>螺纹钢</v>
      </c>
      <c r="F1899" s="40" t="s">
        <v>22</v>
      </c>
      <c r="G1899" s="36">
        <v>23</v>
      </c>
      <c r="H1899" s="121">
        <f>_xlfn.XLOOKUP(C1899&amp;F1899&amp;I1899&amp;J1899,'[1]2025年已发货'!$F:$F&amp;'[1]2025年已发货'!$C:$C&amp;'[1]2025年已发货'!$G:$G&amp;'[1]2025年已发货'!$H:$H,'[1]2025年已发货'!$E:$E,"未发货")</f>
        <v>23</v>
      </c>
      <c r="I1899" s="120" t="str">
        <f>VLOOKUP(B1899,辅助信息!E:I,3,FALSE)</f>
        <v>（四川商建-射洪城乡一体化项目）遂宁市射洪市忠新幼儿园北侧约220米新溪小区</v>
      </c>
      <c r="J1899" s="120" t="str">
        <f>VLOOKUP(B1899,辅助信息!E:I,4,FALSE)</f>
        <v>柏子刚</v>
      </c>
      <c r="K1899" s="120">
        <f>VLOOKUP(J1899,辅助信息!H:I,2,FALSE)</f>
        <v>15692885305</v>
      </c>
      <c r="L1899" s="122" t="str">
        <f>VLOOKUP(B1899,辅助信息!E:J,6,FALSE)</f>
        <v>提前联系到场规格及数量</v>
      </c>
      <c r="M1899" s="91">
        <v>45828</v>
      </c>
      <c r="O1899" s="62">
        <f ca="1" t="shared" si="117"/>
        <v>0</v>
      </c>
      <c r="P1899" s="62">
        <f ca="1" t="shared" si="118"/>
        <v>132</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2" t="s">
        <v>172</v>
      </c>
      <c r="B1900" s="120" t="s">
        <v>147</v>
      </c>
      <c r="C1900" s="70">
        <v>45827</v>
      </c>
      <c r="D1900" s="120" t="str">
        <f>VLOOKUP(B1900,辅助信息!E:K,7,FALSE)</f>
        <v>JWDDCD2025052800131</v>
      </c>
      <c r="E1900" s="120" t="str">
        <f>VLOOKUP(F1900,辅助信息!A:B,2,FALSE)</f>
        <v>高线</v>
      </c>
      <c r="F1900" s="120" t="s">
        <v>57</v>
      </c>
      <c r="G1900" s="121">
        <v>9</v>
      </c>
      <c r="H1900" s="121" t="str">
        <f>_xlfn.XLOOKUP(C1900&amp;F1900&amp;I1900&amp;J1900,'[1]2025年已发货'!$F:$F&amp;'[1]2025年已发货'!$C:$C&amp;'[1]2025年已发货'!$G:$G&amp;'[1]2025年已发货'!$H:$H,'[1]2025年已发货'!$E:$E,"未发货")</f>
        <v>未发货</v>
      </c>
      <c r="I1900" s="120" t="str">
        <f>VLOOKUP(B1900,辅助信息!E:I,3,FALSE)</f>
        <v>（商投建工达州中医药科技园-4工区-11号楼）达州市通川区达州中医药职业学院犀牛大道北段</v>
      </c>
      <c r="J1900" s="120" t="str">
        <f>VLOOKUP(B1900,辅助信息!E:I,4,FALSE)</f>
        <v>张扬</v>
      </c>
      <c r="K1900" s="120">
        <f>VLOOKUP(J1900,辅助信息!H:I,2,FALSE)</f>
        <v>18381904567</v>
      </c>
      <c r="L1900" s="122" t="str">
        <f>VLOOKUP(B1900,辅助信息!E:J,6,FALSE)</f>
        <v>控制炉批号！多了现场不收！,优先安排达钢,提前联系到场规格及数量</v>
      </c>
      <c r="M1900" s="91">
        <v>45828</v>
      </c>
      <c r="O1900" s="62">
        <f ca="1" t="shared" si="117"/>
        <v>0</v>
      </c>
      <c r="P1900" s="62">
        <f ca="1" t="shared" si="118"/>
        <v>132</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2"/>
      <c r="B1901" s="120" t="s">
        <v>147</v>
      </c>
      <c r="C1901" s="70">
        <v>45827</v>
      </c>
      <c r="D1901" s="120" t="str">
        <f>VLOOKUP(B1901,辅助信息!E:K,7,FALSE)</f>
        <v>JWDDCD2025052800131</v>
      </c>
      <c r="E1901" s="120" t="str">
        <f>VLOOKUP(F1901,辅助信息!A:B,2,FALSE)</f>
        <v>螺纹钢</v>
      </c>
      <c r="F1901" s="120" t="s">
        <v>32</v>
      </c>
      <c r="G1901" s="121">
        <v>12</v>
      </c>
      <c r="H1901" s="121">
        <f>_xlfn.XLOOKUP(C1901&amp;F1901&amp;I1901&amp;J1901,'[1]2025年已发货'!$F:$F&amp;'[1]2025年已发货'!$C:$C&amp;'[1]2025年已发货'!$G:$G&amp;'[1]2025年已发货'!$H:$H,'[1]2025年已发货'!$E:$E,"未发货")</f>
        <v>12</v>
      </c>
      <c r="I1901" s="120" t="str">
        <f>VLOOKUP(B1901,辅助信息!E:I,3,FALSE)</f>
        <v>（商投建工达州中医药科技园-4工区-11号楼）达州市通川区达州中医药职业学院犀牛大道北段</v>
      </c>
      <c r="J1901" s="120" t="str">
        <f>VLOOKUP(B1901,辅助信息!E:I,4,FALSE)</f>
        <v>张扬</v>
      </c>
      <c r="K1901" s="120">
        <f>VLOOKUP(J1901,辅助信息!H:I,2,FALSE)</f>
        <v>18381904567</v>
      </c>
      <c r="L1901" s="122" t="str">
        <f>VLOOKUP(B1901,辅助信息!E:J,6,FALSE)</f>
        <v>控制炉批号！多了现场不收！,优先安排达钢,提前联系到场规格及数量</v>
      </c>
      <c r="M1901" s="91">
        <v>45828</v>
      </c>
      <c r="O1901" s="62">
        <f ca="1" t="shared" si="117"/>
        <v>0</v>
      </c>
      <c r="P1901" s="62">
        <f ca="1" t="shared" si="118"/>
        <v>132</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2"/>
      <c r="B1902" s="120" t="s">
        <v>147</v>
      </c>
      <c r="C1902" s="70">
        <v>45827</v>
      </c>
      <c r="D1902" s="120" t="str">
        <f>VLOOKUP(B1902,辅助信息!E:K,7,FALSE)</f>
        <v>JWDDCD2025052800131</v>
      </c>
      <c r="E1902" s="120" t="str">
        <f>VLOOKUP(F1902,辅助信息!A:B,2,FALSE)</f>
        <v>螺纹钢</v>
      </c>
      <c r="F1902" s="120" t="s">
        <v>30</v>
      </c>
      <c r="G1902" s="121">
        <v>3</v>
      </c>
      <c r="H1902" s="121" t="str">
        <f>_xlfn.XLOOKUP(C1902&amp;F1902&amp;I1902&amp;J1902,'[1]2025年已发货'!$F:$F&amp;'[1]2025年已发货'!$C:$C&amp;'[1]2025年已发货'!$G:$G&amp;'[1]2025年已发货'!$H:$H,'[1]2025年已发货'!$E:$E,"未发货")</f>
        <v>未发货</v>
      </c>
      <c r="I1902" s="120" t="str">
        <f>VLOOKUP(B1902,辅助信息!E:I,3,FALSE)</f>
        <v>（商投建工达州中医药科技园-4工区-11号楼）达州市通川区达州中医药职业学院犀牛大道北段</v>
      </c>
      <c r="J1902" s="120" t="str">
        <f>VLOOKUP(B1902,辅助信息!E:I,4,FALSE)</f>
        <v>张扬</v>
      </c>
      <c r="K1902" s="120">
        <f>VLOOKUP(J1902,辅助信息!H:I,2,FALSE)</f>
        <v>18381904567</v>
      </c>
      <c r="L1902" s="122" t="str">
        <f>VLOOKUP(B1902,辅助信息!E:J,6,FALSE)</f>
        <v>控制炉批号！多了现场不收！,优先安排达钢,提前联系到场规格及数量</v>
      </c>
      <c r="M1902" s="91">
        <v>45828</v>
      </c>
      <c r="O1902" s="62">
        <f ca="1" t="shared" si="117"/>
        <v>0</v>
      </c>
      <c r="P1902" s="62">
        <f ca="1" t="shared" si="118"/>
        <v>132</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2"/>
      <c r="B1903" s="120" t="s">
        <v>147</v>
      </c>
      <c r="C1903" s="70">
        <v>45827</v>
      </c>
      <c r="D1903" s="120" t="str">
        <f>VLOOKUP(B1903,辅助信息!E:K,7,FALSE)</f>
        <v>JWDDCD2025052800131</v>
      </c>
      <c r="E1903" s="120" t="str">
        <f>VLOOKUP(F1903,辅助信息!A:B,2,FALSE)</f>
        <v>螺纹钢</v>
      </c>
      <c r="F1903" s="120" t="s">
        <v>28</v>
      </c>
      <c r="G1903" s="121">
        <v>3</v>
      </c>
      <c r="H1903" s="121">
        <f>_xlfn.XLOOKUP(C1903&amp;F1903&amp;I1903&amp;J1903,'[1]2025年已发货'!$F:$F&amp;'[1]2025年已发货'!$C:$C&amp;'[1]2025年已发货'!$G:$G&amp;'[1]2025年已发货'!$H:$H,'[1]2025年已发货'!$E:$E,"未发货")</f>
        <v>3</v>
      </c>
      <c r="I1903" s="120" t="str">
        <f>VLOOKUP(B1903,辅助信息!E:I,3,FALSE)</f>
        <v>（商投建工达州中医药科技园-4工区-11号楼）达州市通川区达州中医药职业学院犀牛大道北段</v>
      </c>
      <c r="J1903" s="120" t="str">
        <f>VLOOKUP(B1903,辅助信息!E:I,4,FALSE)</f>
        <v>张扬</v>
      </c>
      <c r="K1903" s="120">
        <f>VLOOKUP(J1903,辅助信息!H:I,2,FALSE)</f>
        <v>18381904567</v>
      </c>
      <c r="L1903" s="122" t="str">
        <f>VLOOKUP(B1903,辅助信息!E:J,6,FALSE)</f>
        <v>控制炉批号！多了现场不收！,优先安排达钢,提前联系到场规格及数量</v>
      </c>
      <c r="M1903" s="91">
        <v>45828</v>
      </c>
      <c r="O1903" s="62">
        <f ca="1" t="shared" ref="O1903:O1918" si="119">IF(OR(M1903="",N1903&lt;&gt;""),"",MAX(M1903-TODAY(),0))</f>
        <v>0</v>
      </c>
      <c r="P1903" s="62">
        <f ca="1" t="shared" ref="P1903:P1918" si="120">IF(M1903="","",IF(N1903&lt;&gt;"",MAX(N1903-M1903,0),IF(TODAY()&gt;M1903,TODAY()-M1903,0)))</f>
        <v>132</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2"/>
      <c r="B1904" s="120" t="s">
        <v>147</v>
      </c>
      <c r="C1904" s="70">
        <v>45827</v>
      </c>
      <c r="D1904" s="120" t="str">
        <f>VLOOKUP(B1904,辅助信息!E:K,7,FALSE)</f>
        <v>JWDDCD2025052800131</v>
      </c>
      <c r="E1904" s="120" t="str">
        <f>VLOOKUP(F1904,辅助信息!A:B,2,FALSE)</f>
        <v>螺纹钢</v>
      </c>
      <c r="F1904" s="120" t="s">
        <v>18</v>
      </c>
      <c r="G1904" s="121">
        <v>15</v>
      </c>
      <c r="H1904" s="121">
        <f>_xlfn.XLOOKUP(C1904&amp;F1904&amp;I1904&amp;J1904,'[1]2025年已发货'!$F:$F&amp;'[1]2025年已发货'!$C:$C&amp;'[1]2025年已发货'!$G:$G&amp;'[1]2025年已发货'!$H:$H,'[1]2025年已发货'!$E:$E,"未发货")</f>
        <v>15</v>
      </c>
      <c r="I1904" s="120" t="str">
        <f>VLOOKUP(B1904,辅助信息!E:I,3,FALSE)</f>
        <v>（商投建工达州中医药科技园-4工区-11号楼）达州市通川区达州中医药职业学院犀牛大道北段</v>
      </c>
      <c r="J1904" s="120" t="str">
        <f>VLOOKUP(B1904,辅助信息!E:I,4,FALSE)</f>
        <v>张扬</v>
      </c>
      <c r="K1904" s="120">
        <f>VLOOKUP(J1904,辅助信息!H:I,2,FALSE)</f>
        <v>18381904567</v>
      </c>
      <c r="L1904" s="122" t="str">
        <f>VLOOKUP(B1904,辅助信息!E:J,6,FALSE)</f>
        <v>控制炉批号！多了现场不收！,优先安排达钢,提前联系到场规格及数量</v>
      </c>
      <c r="M1904" s="91">
        <v>45828</v>
      </c>
      <c r="O1904" s="62">
        <f ca="1" t="shared" si="119"/>
        <v>0</v>
      </c>
      <c r="P1904" s="62">
        <f ca="1" t="shared" si="120"/>
        <v>132</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2" t="s">
        <v>173</v>
      </c>
      <c r="B1905" s="120" t="s">
        <v>163</v>
      </c>
      <c r="C1905" s="70">
        <v>45827</v>
      </c>
      <c r="D1905" s="120" t="str">
        <f>VLOOKUP(B1905,辅助信息!E:K,7,FALSE)</f>
        <v>JWDDCD2025052800131</v>
      </c>
      <c r="E1905" s="120" t="str">
        <f>VLOOKUP(F1905,辅助信息!A:B,2,FALSE)</f>
        <v>盘螺</v>
      </c>
      <c r="F1905" s="120" t="s">
        <v>40</v>
      </c>
      <c r="G1905" s="121">
        <v>18</v>
      </c>
      <c r="H1905" s="121">
        <f>_xlfn.XLOOKUP(C1905&amp;F1905&amp;I1905&amp;J1905,'[1]2025年已发货'!$F:$F&amp;'[1]2025年已发货'!$C:$C&amp;'[1]2025年已发货'!$G:$G&amp;'[1]2025年已发货'!$H:$H,'[1]2025年已发货'!$E:$E,"未发货")</f>
        <v>18</v>
      </c>
      <c r="I1905" s="120" t="str">
        <f>VLOOKUP(B1905,辅助信息!E:I,3,FALSE)</f>
        <v>（商投建工达州中医药科技园-4工区-9号楼）达州市通川区达州中医药职业学院犀牛大道北段</v>
      </c>
      <c r="J1905" s="120" t="str">
        <f>VLOOKUP(B1905,辅助信息!E:I,4,FALSE)</f>
        <v>张扬</v>
      </c>
      <c r="K1905" s="120">
        <f>VLOOKUP(J1905,辅助信息!H:I,2,FALSE)</f>
        <v>18381904567</v>
      </c>
      <c r="L1905" s="122" t="str">
        <f>VLOOKUP(B1905,辅助信息!E:J,6,FALSE)</f>
        <v>控制炉批号！多了现场不收！,优先安排达钢,提前联系到场规格及数量</v>
      </c>
      <c r="M1905" s="91">
        <v>45828</v>
      </c>
      <c r="O1905" s="62">
        <f ca="1" t="shared" si="119"/>
        <v>0</v>
      </c>
      <c r="P1905" s="62">
        <f ca="1" t="shared" si="120"/>
        <v>132</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2"/>
      <c r="B1906" s="120" t="s">
        <v>163</v>
      </c>
      <c r="C1906" s="70">
        <v>45827</v>
      </c>
      <c r="D1906" s="120" t="str">
        <f>VLOOKUP(B1906,辅助信息!E:K,7,FALSE)</f>
        <v>JWDDCD2025052800131</v>
      </c>
      <c r="E1906" s="120" t="str">
        <f>VLOOKUP(F1906,辅助信息!A:B,2,FALSE)</f>
        <v>螺纹钢</v>
      </c>
      <c r="F1906" s="120" t="s">
        <v>32</v>
      </c>
      <c r="G1906" s="121">
        <v>6</v>
      </c>
      <c r="H1906" s="121">
        <f>_xlfn.XLOOKUP(C1906&amp;F1906&amp;I1906&amp;J1906,'[1]2025年已发货'!$F:$F&amp;'[1]2025年已发货'!$C:$C&amp;'[1]2025年已发货'!$G:$G&amp;'[1]2025年已发货'!$H:$H,'[1]2025年已发货'!$E:$E,"未发货")</f>
        <v>6</v>
      </c>
      <c r="I1906" s="120" t="str">
        <f>VLOOKUP(B1906,辅助信息!E:I,3,FALSE)</f>
        <v>（商投建工达州中医药科技园-4工区-9号楼）达州市通川区达州中医药职业学院犀牛大道北段</v>
      </c>
      <c r="J1906" s="120" t="str">
        <f>VLOOKUP(B1906,辅助信息!E:I,4,FALSE)</f>
        <v>张扬</v>
      </c>
      <c r="K1906" s="120">
        <f>VLOOKUP(J1906,辅助信息!H:I,2,FALSE)</f>
        <v>18381904567</v>
      </c>
      <c r="L1906" s="122" t="str">
        <f>VLOOKUP(B1906,辅助信息!E:J,6,FALSE)</f>
        <v>控制炉批号！多了现场不收！,优先安排达钢,提前联系到场规格及数量</v>
      </c>
      <c r="M1906" s="91">
        <v>45828</v>
      </c>
      <c r="O1906" s="62">
        <f ca="1" t="shared" si="119"/>
        <v>0</v>
      </c>
      <c r="P1906" s="62">
        <f ca="1" t="shared" si="120"/>
        <v>132</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2"/>
      <c r="B1907" s="120" t="s">
        <v>163</v>
      </c>
      <c r="C1907" s="70">
        <v>45827</v>
      </c>
      <c r="D1907" s="120" t="str">
        <f>VLOOKUP(B1907,辅助信息!E:K,7,FALSE)</f>
        <v>JWDDCD2025052800131</v>
      </c>
      <c r="E1907" s="120" t="str">
        <f>VLOOKUP(F1907,辅助信息!A:B,2,FALSE)</f>
        <v>螺纹钢</v>
      </c>
      <c r="F1907" s="120" t="s">
        <v>30</v>
      </c>
      <c r="G1907" s="121">
        <f>6+9</f>
        <v>15</v>
      </c>
      <c r="H1907" s="121" t="str">
        <f>_xlfn.XLOOKUP(C1907&amp;F1907&amp;I1907&amp;J1907,'[1]2025年已发货'!$F:$F&amp;'[1]2025年已发货'!$C:$C&amp;'[1]2025年已发货'!$G:$G&amp;'[1]2025年已发货'!$H:$H,'[1]2025年已发货'!$E:$E,"未发货")</f>
        <v>未发货</v>
      </c>
      <c r="I1907" s="120" t="str">
        <f>VLOOKUP(B1907,辅助信息!E:I,3,FALSE)</f>
        <v>（商投建工达州中医药科技园-4工区-9号楼）达州市通川区达州中医药职业学院犀牛大道北段</v>
      </c>
      <c r="J1907" s="120" t="str">
        <f>VLOOKUP(B1907,辅助信息!E:I,4,FALSE)</f>
        <v>张扬</v>
      </c>
      <c r="K1907" s="120">
        <f>VLOOKUP(J1907,辅助信息!H:I,2,FALSE)</f>
        <v>18381904567</v>
      </c>
      <c r="L1907" s="122" t="str">
        <f>VLOOKUP(B1907,辅助信息!E:J,6,FALSE)</f>
        <v>控制炉批号！多了现场不收！,优先安排达钢,提前联系到场规格及数量</v>
      </c>
      <c r="M1907" s="91">
        <v>45828</v>
      </c>
      <c r="O1907" s="62">
        <f ca="1" t="shared" si="119"/>
        <v>0</v>
      </c>
      <c r="P1907" s="62">
        <f ca="1" t="shared" si="120"/>
        <v>132</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0">
        <v>45828</v>
      </c>
      <c r="D1908" s="120" t="str">
        <f>VLOOKUP(B1908,辅助信息!E:K,7,FALSE)</f>
        <v>JWDDCD2025051800046</v>
      </c>
      <c r="E1908" s="120" t="str">
        <f>VLOOKUP(F1908,辅助信息!A:B,2,FALSE)</f>
        <v>盘螺</v>
      </c>
      <c r="F1908" s="40" t="s">
        <v>40</v>
      </c>
      <c r="G1908" s="36">
        <v>7.5</v>
      </c>
      <c r="H1908" s="121">
        <f>_xlfn.XLOOKUP(C1908&amp;F1908&amp;I1908&amp;J1908,'[1]2025年已发货'!$F:$F&amp;'[1]2025年已发货'!$C:$C&amp;'[1]2025年已发货'!$G:$G&amp;'[1]2025年已发货'!$H:$H,'[1]2025年已发货'!$E:$E,"未发货")</f>
        <v>7.5</v>
      </c>
      <c r="I1908" s="120" t="str">
        <f>VLOOKUP(B1908,辅助信息!E:I,3,FALSE)</f>
        <v>（华西萌海科创农业生态谷）成都市简阳市白金山水库</v>
      </c>
      <c r="J1908" s="120" t="str">
        <f>VLOOKUP(B1908,辅助信息!E:I,4,FALSE)</f>
        <v>石清国</v>
      </c>
      <c r="K1908" s="120">
        <f>VLOOKUP(J1908,辅助信息!H:I,2,FALSE)</f>
        <v>13458642015</v>
      </c>
      <c r="L1908" s="133" t="str">
        <f>VLOOKUP(B1908,辅助信息!E:J,6,FALSE)</f>
        <v>优先威钢,我方卸车,新老国标钢厂不加价可直发</v>
      </c>
      <c r="M1908" s="91">
        <v>45829</v>
      </c>
      <c r="O1908" s="62">
        <f ca="1" t="shared" si="119"/>
        <v>0</v>
      </c>
      <c r="P1908" s="62">
        <f ca="1" t="shared" si="120"/>
        <v>131</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0">
        <v>45828</v>
      </c>
      <c r="D1909" s="120" t="str">
        <f>VLOOKUP(B1909,辅助信息!E:K,7,FALSE)</f>
        <v>JWDDCD2025051800046</v>
      </c>
      <c r="E1909" s="120" t="str">
        <f>VLOOKUP(F1909,辅助信息!A:B,2,FALSE)</f>
        <v>盘螺</v>
      </c>
      <c r="F1909" s="40" t="s">
        <v>26</v>
      </c>
      <c r="G1909" s="36">
        <v>5</v>
      </c>
      <c r="H1909" s="121">
        <f>_xlfn.XLOOKUP(C1909&amp;F1909&amp;I1909&amp;J1909,'[1]2025年已发货'!$F:$F&amp;'[1]2025年已发货'!$C:$C&amp;'[1]2025年已发货'!$G:$G&amp;'[1]2025年已发货'!$H:$H,'[1]2025年已发货'!$E:$E,"未发货")</f>
        <v>5</v>
      </c>
      <c r="I1909" s="120" t="str">
        <f>VLOOKUP(B1909,辅助信息!E:I,3,FALSE)</f>
        <v>（华西萌海科创农业生态谷）成都市简阳市白金山水库</v>
      </c>
      <c r="J1909" s="120" t="str">
        <f>VLOOKUP(B1909,辅助信息!E:I,4,FALSE)</f>
        <v>石清国</v>
      </c>
      <c r="K1909" s="120">
        <f>VLOOKUP(J1909,辅助信息!H:I,2,FALSE)</f>
        <v>13458642015</v>
      </c>
      <c r="L1909" s="133" t="str">
        <f>VLOOKUP(B1909,辅助信息!E:J,6,FALSE)</f>
        <v>优先威钢,我方卸车,新老国标钢厂不加价可直发</v>
      </c>
      <c r="M1909" s="91">
        <v>45829</v>
      </c>
      <c r="O1909" s="62">
        <f ca="1" t="shared" si="119"/>
        <v>0</v>
      </c>
      <c r="P1909" s="62">
        <f ca="1" t="shared" si="120"/>
        <v>131</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0">
        <v>45828</v>
      </c>
      <c r="D1910" s="120" t="str">
        <f>VLOOKUP(B1910,辅助信息!E:K,7,FALSE)</f>
        <v>JWDDCD2025051800046</v>
      </c>
      <c r="E1910" s="120" t="str">
        <f>VLOOKUP(F1910,辅助信息!A:B,2,FALSE)</f>
        <v>螺纹钢</v>
      </c>
      <c r="F1910" s="40" t="s">
        <v>27</v>
      </c>
      <c r="G1910" s="36">
        <v>9</v>
      </c>
      <c r="H1910" s="121">
        <f>_xlfn.XLOOKUP(C1910&amp;F1910&amp;I1910&amp;J1910,'[1]2025年已发货'!$F:$F&amp;'[1]2025年已发货'!$C:$C&amp;'[1]2025年已发货'!$G:$G&amp;'[1]2025年已发货'!$H:$H,'[1]2025年已发货'!$E:$E,"未发货")</f>
        <v>9</v>
      </c>
      <c r="I1910" s="120" t="str">
        <f>VLOOKUP(B1910,辅助信息!E:I,3,FALSE)</f>
        <v>（华西萌海科创农业生态谷）成都市简阳市白金山水库</v>
      </c>
      <c r="J1910" s="120" t="str">
        <f>VLOOKUP(B1910,辅助信息!E:I,4,FALSE)</f>
        <v>石清国</v>
      </c>
      <c r="K1910" s="120">
        <f>VLOOKUP(J1910,辅助信息!H:I,2,FALSE)</f>
        <v>13458642015</v>
      </c>
      <c r="L1910" s="133" t="str">
        <f>VLOOKUP(B1910,辅助信息!E:J,6,FALSE)</f>
        <v>优先威钢,我方卸车,新老国标钢厂不加价可直发</v>
      </c>
      <c r="M1910" s="91">
        <v>45829</v>
      </c>
      <c r="O1910" s="62">
        <f ca="1" t="shared" si="119"/>
        <v>0</v>
      </c>
      <c r="P1910" s="62">
        <f ca="1" t="shared" si="120"/>
        <v>131</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0">
        <v>45828</v>
      </c>
      <c r="D1911" s="120" t="str">
        <f>VLOOKUP(B1911,辅助信息!E:K,7,FALSE)</f>
        <v>JWDDCD2025051800046</v>
      </c>
      <c r="E1911" s="120" t="str">
        <f>VLOOKUP(F1911,辅助信息!A:B,2,FALSE)</f>
        <v>螺纹钢</v>
      </c>
      <c r="F1911" s="40" t="s">
        <v>19</v>
      </c>
      <c r="G1911" s="36">
        <v>3</v>
      </c>
      <c r="H1911" s="121">
        <f>_xlfn.XLOOKUP(C1911&amp;F1911&amp;I1911&amp;J1911,'[1]2025年已发货'!$F:$F&amp;'[1]2025年已发货'!$C:$C&amp;'[1]2025年已发货'!$G:$G&amp;'[1]2025年已发货'!$H:$H,'[1]2025年已发货'!$E:$E,"未发货")</f>
        <v>3</v>
      </c>
      <c r="I1911" s="120" t="str">
        <f>VLOOKUP(B1911,辅助信息!E:I,3,FALSE)</f>
        <v>（华西萌海科创农业生态谷）成都市简阳市白金山水库</v>
      </c>
      <c r="J1911" s="120" t="str">
        <f>VLOOKUP(B1911,辅助信息!E:I,4,FALSE)</f>
        <v>石清国</v>
      </c>
      <c r="K1911" s="120">
        <f>VLOOKUP(J1911,辅助信息!H:I,2,FALSE)</f>
        <v>13458642015</v>
      </c>
      <c r="L1911" s="133" t="str">
        <f>VLOOKUP(B1911,辅助信息!E:J,6,FALSE)</f>
        <v>优先威钢,我方卸车,新老国标钢厂不加价可直发</v>
      </c>
      <c r="M1911" s="91">
        <v>45829</v>
      </c>
      <c r="O1911" s="62">
        <f ca="1" t="shared" si="119"/>
        <v>0</v>
      </c>
      <c r="P1911" s="62">
        <f ca="1" t="shared" si="120"/>
        <v>131</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0">
        <v>45828</v>
      </c>
      <c r="D1912" s="120" t="str">
        <f>VLOOKUP(B1912,辅助信息!E:K,7,FALSE)</f>
        <v>JWDDCD2025051800046</v>
      </c>
      <c r="E1912" s="120" t="str">
        <f>VLOOKUP(F1912,辅助信息!A:B,2,FALSE)</f>
        <v>螺纹钢</v>
      </c>
      <c r="F1912" s="40" t="s">
        <v>32</v>
      </c>
      <c r="G1912" s="36">
        <v>3</v>
      </c>
      <c r="H1912" s="121">
        <f>_xlfn.XLOOKUP(C1912&amp;F1912&amp;I1912&amp;J1912,'[1]2025年已发货'!$F:$F&amp;'[1]2025年已发货'!$C:$C&amp;'[1]2025年已发货'!$G:$G&amp;'[1]2025年已发货'!$H:$H,'[1]2025年已发货'!$E:$E,"未发货")</f>
        <v>3</v>
      </c>
      <c r="I1912" s="120" t="str">
        <f>VLOOKUP(B1912,辅助信息!E:I,3,FALSE)</f>
        <v>（华西萌海科创农业生态谷）成都市简阳市白金山水库</v>
      </c>
      <c r="J1912" s="120" t="str">
        <f>VLOOKUP(B1912,辅助信息!E:I,4,FALSE)</f>
        <v>石清国</v>
      </c>
      <c r="K1912" s="120">
        <f>VLOOKUP(J1912,辅助信息!H:I,2,FALSE)</f>
        <v>13458642015</v>
      </c>
      <c r="L1912" s="133" t="str">
        <f>VLOOKUP(B1912,辅助信息!E:J,6,FALSE)</f>
        <v>优先威钢,我方卸车,新老国标钢厂不加价可直发</v>
      </c>
      <c r="M1912" s="91">
        <v>45829</v>
      </c>
      <c r="O1912" s="62">
        <f ca="1" t="shared" si="119"/>
        <v>0</v>
      </c>
      <c r="P1912" s="62">
        <f ca="1" t="shared" si="120"/>
        <v>131</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0">
        <v>45828</v>
      </c>
      <c r="D1913" s="120" t="str">
        <f>VLOOKUP(B1913,辅助信息!E:K,7,FALSE)</f>
        <v>JWDDCD2025051800046</v>
      </c>
      <c r="E1913" s="120" t="str">
        <f>VLOOKUP(F1913,辅助信息!A:B,2,FALSE)</f>
        <v>螺纹钢</v>
      </c>
      <c r="F1913" s="40" t="s">
        <v>33</v>
      </c>
      <c r="G1913" s="36">
        <v>3</v>
      </c>
      <c r="H1913" s="121">
        <f>_xlfn.XLOOKUP(C1913&amp;F1913&amp;I1913&amp;J1913,'[1]2025年已发货'!$F:$F&amp;'[1]2025年已发货'!$C:$C&amp;'[1]2025年已发货'!$G:$G&amp;'[1]2025年已发货'!$H:$H,'[1]2025年已发货'!$E:$E,"未发货")</f>
        <v>3</v>
      </c>
      <c r="I1913" s="120" t="str">
        <f>VLOOKUP(B1913,辅助信息!E:I,3,FALSE)</f>
        <v>（华西萌海科创农业生态谷）成都市简阳市白金山水库</v>
      </c>
      <c r="J1913" s="120" t="str">
        <f>VLOOKUP(B1913,辅助信息!E:I,4,FALSE)</f>
        <v>石清国</v>
      </c>
      <c r="K1913" s="120">
        <f>VLOOKUP(J1913,辅助信息!H:I,2,FALSE)</f>
        <v>13458642015</v>
      </c>
      <c r="L1913" s="133" t="str">
        <f>VLOOKUP(B1913,辅助信息!E:J,6,FALSE)</f>
        <v>优先威钢,我方卸车,新老国标钢厂不加价可直发</v>
      </c>
      <c r="M1913" s="91">
        <v>45829</v>
      </c>
      <c r="O1913" s="62">
        <f ca="1" t="shared" si="119"/>
        <v>0</v>
      </c>
      <c r="P1913" s="62">
        <f ca="1" t="shared" si="120"/>
        <v>131</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0">
        <v>45828</v>
      </c>
      <c r="D1914" s="120" t="str">
        <f>VLOOKUP(B1914,辅助信息!E:K,7,FALSE)</f>
        <v>JWDDCD2025051800046</v>
      </c>
      <c r="E1914" s="120" t="str">
        <f>VLOOKUP(F1914,辅助信息!A:B,2,FALSE)</f>
        <v>螺纹钢</v>
      </c>
      <c r="F1914" s="40" t="s">
        <v>28</v>
      </c>
      <c r="G1914" s="36">
        <v>3</v>
      </c>
      <c r="H1914" s="121">
        <f>_xlfn.XLOOKUP(C1914&amp;F1914&amp;I1914&amp;J1914,'[1]2025年已发货'!$F:$F&amp;'[1]2025年已发货'!$C:$C&amp;'[1]2025年已发货'!$G:$G&amp;'[1]2025年已发货'!$H:$H,'[1]2025年已发货'!$E:$E,"未发货")</f>
        <v>3</v>
      </c>
      <c r="I1914" s="120" t="str">
        <f>VLOOKUP(B1914,辅助信息!E:I,3,FALSE)</f>
        <v>（华西萌海科创农业生态谷）成都市简阳市白金山水库</v>
      </c>
      <c r="J1914" s="120" t="str">
        <f>VLOOKUP(B1914,辅助信息!E:I,4,FALSE)</f>
        <v>石清国</v>
      </c>
      <c r="K1914" s="120">
        <f>VLOOKUP(J1914,辅助信息!H:I,2,FALSE)</f>
        <v>13458642015</v>
      </c>
      <c r="L1914" s="133" t="str">
        <f>VLOOKUP(B1914,辅助信息!E:J,6,FALSE)</f>
        <v>优先威钢,我方卸车,新老国标钢厂不加价可直发</v>
      </c>
      <c r="M1914" s="91">
        <v>45829</v>
      </c>
      <c r="O1914" s="62">
        <f ca="1" t="shared" si="119"/>
        <v>0</v>
      </c>
      <c r="P1914" s="62">
        <f ca="1" t="shared" si="120"/>
        <v>131</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0">
        <v>45828</v>
      </c>
      <c r="D1915" s="120" t="str">
        <f>VLOOKUP(B1915,辅助信息!E:K,7,FALSE)</f>
        <v>JWDDCD2025051800046</v>
      </c>
      <c r="E1915" s="120" t="str">
        <f>VLOOKUP(F1915,辅助信息!A:B,2,FALSE)</f>
        <v>螺纹钢</v>
      </c>
      <c r="F1915" s="40" t="s">
        <v>65</v>
      </c>
      <c r="G1915" s="36">
        <v>3</v>
      </c>
      <c r="H1915" s="121">
        <f>_xlfn.XLOOKUP(C1915&amp;F1915&amp;I1915&amp;J1915,'[1]2025年已发货'!$F:$F&amp;'[1]2025年已发货'!$C:$C&amp;'[1]2025年已发货'!$G:$G&amp;'[1]2025年已发货'!$H:$H,'[1]2025年已发货'!$E:$E,"未发货")</f>
        <v>3</v>
      </c>
      <c r="I1915" s="120" t="str">
        <f>VLOOKUP(B1915,辅助信息!E:I,3,FALSE)</f>
        <v>（华西萌海科创农业生态谷）成都市简阳市白金山水库</v>
      </c>
      <c r="J1915" s="120" t="str">
        <f>VLOOKUP(B1915,辅助信息!E:I,4,FALSE)</f>
        <v>石清国</v>
      </c>
      <c r="K1915" s="120">
        <f>VLOOKUP(J1915,辅助信息!H:I,2,FALSE)</f>
        <v>13458642015</v>
      </c>
      <c r="L1915" s="133" t="str">
        <f>VLOOKUP(B1915,辅助信息!E:J,6,FALSE)</f>
        <v>优先威钢,我方卸车,新老国标钢厂不加价可直发</v>
      </c>
      <c r="M1915" s="91">
        <v>45829</v>
      </c>
      <c r="O1915" s="62">
        <f ca="1" t="shared" si="119"/>
        <v>0</v>
      </c>
      <c r="P1915" s="62">
        <f ca="1" t="shared" si="120"/>
        <v>131</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0">
        <v>45828</v>
      </c>
      <c r="D1916" s="120" t="str">
        <f>VLOOKUP(B1916,辅助信息!E:K,7,FALSE)</f>
        <v>JWDDCD2025051800046</v>
      </c>
      <c r="E1916" s="120" t="str">
        <f>VLOOKUP(F1916,辅助信息!A:B,2,FALSE)</f>
        <v>螺纹钢</v>
      </c>
      <c r="F1916" s="40" t="s">
        <v>58</v>
      </c>
      <c r="G1916" s="36">
        <v>6</v>
      </c>
      <c r="H1916" s="121">
        <f>_xlfn.XLOOKUP(C1916&amp;F1916&amp;I1916&amp;J1916,'[1]2025年已发货'!$F:$F&amp;'[1]2025年已发货'!$C:$C&amp;'[1]2025年已发货'!$G:$G&amp;'[1]2025年已发货'!$H:$H,'[1]2025年已发货'!$E:$E,"未发货")</f>
        <v>6</v>
      </c>
      <c r="I1916" s="120" t="str">
        <f>VLOOKUP(B1916,辅助信息!E:I,3,FALSE)</f>
        <v>（华西萌海科创农业生态谷）成都市简阳市白金山水库</v>
      </c>
      <c r="J1916" s="120" t="str">
        <f>VLOOKUP(B1916,辅助信息!E:I,4,FALSE)</f>
        <v>石清国</v>
      </c>
      <c r="K1916" s="120">
        <f>VLOOKUP(J1916,辅助信息!H:I,2,FALSE)</f>
        <v>13458642015</v>
      </c>
      <c r="L1916" s="133" t="str">
        <f>VLOOKUP(B1916,辅助信息!E:J,6,FALSE)</f>
        <v>优先威钢,我方卸车,新老国标钢厂不加价可直发</v>
      </c>
      <c r="M1916" s="91">
        <v>45829</v>
      </c>
      <c r="O1916" s="62">
        <f ca="1" t="shared" si="119"/>
        <v>0</v>
      </c>
      <c r="P1916" s="62">
        <f ca="1" t="shared" si="120"/>
        <v>131</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0">
        <v>45828</v>
      </c>
      <c r="D1917" s="120" t="str">
        <f>VLOOKUP(B1917,辅助信息!E:K,7,FALSE)</f>
        <v>JWDDCD2025051800046</v>
      </c>
      <c r="E1917" s="120" t="str">
        <f>VLOOKUP(F1917,辅助信息!A:B,2,FALSE)</f>
        <v>螺纹钢</v>
      </c>
      <c r="F1917" s="40" t="s">
        <v>46</v>
      </c>
      <c r="G1917" s="36">
        <v>6</v>
      </c>
      <c r="H1917" s="121">
        <f>_xlfn.XLOOKUP(C1917&amp;F1917&amp;I1917&amp;J1917,'[1]2025年已发货'!$F:$F&amp;'[1]2025年已发货'!$C:$C&amp;'[1]2025年已发货'!$G:$G&amp;'[1]2025年已发货'!$H:$H,'[1]2025年已发货'!$E:$E,"未发货")</f>
        <v>6</v>
      </c>
      <c r="I1917" s="120" t="str">
        <f>VLOOKUP(B1917,辅助信息!E:I,3,FALSE)</f>
        <v>（华西萌海科创农业生态谷）成都市简阳市白金山水库</v>
      </c>
      <c r="J1917" s="120" t="str">
        <f>VLOOKUP(B1917,辅助信息!E:I,4,FALSE)</f>
        <v>石清国</v>
      </c>
      <c r="K1917" s="120">
        <f>VLOOKUP(J1917,辅助信息!H:I,2,FALSE)</f>
        <v>13458642015</v>
      </c>
      <c r="L1917" s="133" t="str">
        <f>VLOOKUP(B1917,辅助信息!E:J,6,FALSE)</f>
        <v>优先威钢,我方卸车,新老国标钢厂不加价可直发</v>
      </c>
      <c r="M1917" s="91">
        <v>45829</v>
      </c>
      <c r="O1917" s="62">
        <f ca="1" t="shared" si="119"/>
        <v>0</v>
      </c>
      <c r="P1917" s="62">
        <f ca="1" t="shared" si="120"/>
        <v>131</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0">
        <v>45828</v>
      </c>
      <c r="D1918" s="120" t="str">
        <f>VLOOKUP(B1918,辅助信息!E:K,7,FALSE)</f>
        <v>JWDDCD2025051800046</v>
      </c>
      <c r="E1918" s="120" t="str">
        <f>VLOOKUP(F1918,辅助信息!A:B,2,FALSE)</f>
        <v>螺纹钢</v>
      </c>
      <c r="F1918" s="40" t="s">
        <v>22</v>
      </c>
      <c r="G1918" s="36">
        <v>21</v>
      </c>
      <c r="H1918" s="121">
        <f>_xlfn.XLOOKUP(C1918&amp;F1918&amp;I1918&amp;J1918,'[1]2025年已发货'!$F:$F&amp;'[1]2025年已发货'!$C:$C&amp;'[1]2025年已发货'!$G:$G&amp;'[1]2025年已发货'!$H:$H,'[1]2025年已发货'!$E:$E,"未发货")</f>
        <v>21</v>
      </c>
      <c r="I1918" s="120" t="str">
        <f>VLOOKUP(B1918,辅助信息!E:I,3,FALSE)</f>
        <v>（华西萌海科创农业生态谷）成都市简阳市白金山水库</v>
      </c>
      <c r="J1918" s="120" t="str">
        <f>VLOOKUP(B1918,辅助信息!E:I,4,FALSE)</f>
        <v>石清国</v>
      </c>
      <c r="K1918" s="120">
        <f>VLOOKUP(J1918,辅助信息!H:I,2,FALSE)</f>
        <v>13458642015</v>
      </c>
      <c r="L1918" s="133" t="str">
        <f>VLOOKUP(B1918,辅助信息!E:J,6,FALSE)</f>
        <v>优先威钢,我方卸车,新老国标钢厂不加价可直发</v>
      </c>
      <c r="M1918" s="91">
        <v>45829</v>
      </c>
      <c r="O1918" s="62">
        <f ca="1" t="shared" si="119"/>
        <v>0</v>
      </c>
      <c r="P1918" s="62">
        <f ca="1" t="shared" si="120"/>
        <v>131</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0">
        <v>45828</v>
      </c>
      <c r="D1919" s="120" t="str">
        <f>VLOOKUP(B1919,辅助信息!E:K,7,FALSE)</f>
        <v>JWDDCD2025060900080</v>
      </c>
      <c r="E1919" s="120" t="str">
        <f>VLOOKUP(F1919,辅助信息!A:B,2,FALSE)</f>
        <v>盘螺</v>
      </c>
      <c r="F1919" s="40" t="s">
        <v>40</v>
      </c>
      <c r="G1919" s="36">
        <v>5</v>
      </c>
      <c r="H1919" s="121">
        <f>_xlfn.XLOOKUP(C1919&amp;F1919&amp;I1919&amp;J1919,'[1]2025年已发货'!$F:$F&amp;'[1]2025年已发货'!$C:$C&amp;'[1]2025年已发货'!$G:$G&amp;'[1]2025年已发货'!$H:$H,'[1]2025年已发货'!$E:$E,"未发货")</f>
        <v>5</v>
      </c>
      <c r="I1919" s="120" t="str">
        <f>VLOOKUP(B1919,辅助信息!E:I,3,FALSE)</f>
        <v>（华西简阳西城嘉苑）四川省成都市简阳市简城街道高屋村</v>
      </c>
      <c r="J1919" s="120" t="str">
        <f>VLOOKUP(B1919,辅助信息!E:I,4,FALSE)</f>
        <v>张瀚镭</v>
      </c>
      <c r="K1919" s="120">
        <f>VLOOKUP(J1919,辅助信息!H:I,2,FALSE)</f>
        <v>15884666220</v>
      </c>
      <c r="L1919" s="133" t="str">
        <f>VLOOKUP(B1919,辅助信息!E:J,6,FALSE)</f>
        <v>现场禁止使用氢能源挂车！优先威钢发货,我方卸车,新老国标钢厂不加价可直发，因陕钢多次出现磅差，项目拒绝使用</v>
      </c>
      <c r="M1919" s="91">
        <v>45829</v>
      </c>
      <c r="O1919" s="62">
        <f ca="1" t="shared" ref="O1919:O1925" si="121">IF(OR(M1919="",N1919&lt;&gt;""),"",MAX(M1919-TODAY(),0))</f>
        <v>0</v>
      </c>
      <c r="P1919" s="62">
        <f ca="1" t="shared" ref="P1919:P1925" si="122">IF(M1919="","",IF(N1919&lt;&gt;"",MAX(N1919-M1919,0),IF(TODAY()&gt;M1919,TODAY()-M1919,0)))</f>
        <v>131</v>
      </c>
      <c r="Q1919" s="29" t="str">
        <f>VLOOKUP(B1919,辅助信息!E:M,9,FALSE)</f>
        <v>ZTWM-CDGS-XS-2024-0030-华西集采-简州大道</v>
      </c>
      <c r="R1919" s="29" t="str">
        <f>_xlfn._xlws.FILTER(辅助信息!D:D,辅助信息!E:E=B1919)</f>
        <v>华西简阳西城嘉苑</v>
      </c>
    </row>
    <row r="1920" hidden="1" spans="2:18">
      <c r="B1920" s="40" t="s">
        <v>81</v>
      </c>
      <c r="C1920" s="70">
        <v>45828</v>
      </c>
      <c r="D1920" s="120" t="str">
        <f>VLOOKUP(B1920,辅助信息!E:K,7,FALSE)</f>
        <v>JWDDCD2025060900080</v>
      </c>
      <c r="E1920" s="120" t="str">
        <f>VLOOKUP(F1920,辅助信息!A:B,2,FALSE)</f>
        <v>螺纹钢</v>
      </c>
      <c r="F1920" s="40" t="s">
        <v>19</v>
      </c>
      <c r="G1920" s="36">
        <v>66</v>
      </c>
      <c r="H1920" s="121">
        <f>_xlfn.XLOOKUP(C1920&amp;F1920&amp;I1920&amp;J1920,'[1]2025年已发货'!$F:$F&amp;'[1]2025年已发货'!$C:$C&amp;'[1]2025年已发货'!$G:$G&amp;'[1]2025年已发货'!$H:$H,'[1]2025年已发货'!$E:$E,"未发货")</f>
        <v>66</v>
      </c>
      <c r="I1920" s="120" t="str">
        <f>VLOOKUP(B1920,辅助信息!E:I,3,FALSE)</f>
        <v>（华西简阳西城嘉苑）四川省成都市简阳市简城街道高屋村</v>
      </c>
      <c r="J1920" s="120" t="str">
        <f>VLOOKUP(B1920,辅助信息!E:I,4,FALSE)</f>
        <v>张瀚镭</v>
      </c>
      <c r="K1920" s="120">
        <f>VLOOKUP(J1920,辅助信息!H:I,2,FALSE)</f>
        <v>15884666220</v>
      </c>
      <c r="L1920" s="133" t="str">
        <f>VLOOKUP(B1920,辅助信息!E:J,6,FALSE)</f>
        <v>现场禁止使用氢能源挂车！优先威钢发货,我方卸车,新老国标钢厂不加价可直发，因陕钢多次出现磅差，项目拒绝使用</v>
      </c>
      <c r="M1920" s="91">
        <v>45829</v>
      </c>
      <c r="O1920" s="62">
        <f ca="1" t="shared" si="121"/>
        <v>0</v>
      </c>
      <c r="P1920" s="62">
        <f ca="1" t="shared" si="122"/>
        <v>131</v>
      </c>
      <c r="Q1920" s="29" t="str">
        <f>VLOOKUP(B1920,辅助信息!E:M,9,FALSE)</f>
        <v>ZTWM-CDGS-XS-2024-0030-华西集采-简州大道</v>
      </c>
      <c r="R1920" s="29" t="str">
        <f>_xlfn._xlws.FILTER(辅助信息!D:D,辅助信息!E:E=B1920)</f>
        <v>华西简阳西城嘉苑</v>
      </c>
    </row>
    <row r="1921" hidden="1" spans="2:18">
      <c r="B1921" s="40" t="s">
        <v>81</v>
      </c>
      <c r="C1921" s="70">
        <v>45828</v>
      </c>
      <c r="D1921" s="120" t="str">
        <f>VLOOKUP(B1921,辅助信息!E:K,7,FALSE)</f>
        <v>JWDDCD2025060900080</v>
      </c>
      <c r="E1921" s="120" t="str">
        <f>VLOOKUP(F1921,辅助信息!A:B,2,FALSE)</f>
        <v>螺纹钢</v>
      </c>
      <c r="F1921" s="40" t="s">
        <v>32</v>
      </c>
      <c r="G1921" s="36">
        <v>3</v>
      </c>
      <c r="H1921" s="121">
        <f>_xlfn.XLOOKUP(C1921&amp;F1921&amp;I1921&amp;J1921,'[1]2025年已发货'!$F:$F&amp;'[1]2025年已发货'!$C:$C&amp;'[1]2025年已发货'!$G:$G&amp;'[1]2025年已发货'!$H:$H,'[1]2025年已发货'!$E:$E,"未发货")</f>
        <v>3</v>
      </c>
      <c r="I1921" s="120" t="str">
        <f>VLOOKUP(B1921,辅助信息!E:I,3,FALSE)</f>
        <v>（华西简阳西城嘉苑）四川省成都市简阳市简城街道高屋村</v>
      </c>
      <c r="J1921" s="120" t="str">
        <f>VLOOKUP(B1921,辅助信息!E:I,4,FALSE)</f>
        <v>张瀚镭</v>
      </c>
      <c r="K1921" s="120">
        <f>VLOOKUP(J1921,辅助信息!H:I,2,FALSE)</f>
        <v>15884666220</v>
      </c>
      <c r="L1921" s="133" t="str">
        <f>VLOOKUP(B1921,辅助信息!E:J,6,FALSE)</f>
        <v>现场禁止使用氢能源挂车！优先威钢发货,我方卸车,新老国标钢厂不加价可直发，因陕钢多次出现磅差，项目拒绝使用</v>
      </c>
      <c r="M1921" s="91">
        <v>45829</v>
      </c>
      <c r="O1921" s="62">
        <f ca="1" t="shared" si="121"/>
        <v>0</v>
      </c>
      <c r="P1921" s="62">
        <f ca="1" t="shared" si="122"/>
        <v>131</v>
      </c>
      <c r="Q1921" s="29" t="str">
        <f>VLOOKUP(B1921,辅助信息!E:M,9,FALSE)</f>
        <v>ZTWM-CDGS-XS-2024-0030-华西集采-简州大道</v>
      </c>
      <c r="R1921" s="29" t="str">
        <f>_xlfn._xlws.FILTER(辅助信息!D:D,辅助信息!E:E=B1921)</f>
        <v>华西简阳西城嘉苑</v>
      </c>
    </row>
    <row r="1922" hidden="1" spans="2:18">
      <c r="B1922" s="40" t="s">
        <v>81</v>
      </c>
      <c r="C1922" s="70">
        <v>45828</v>
      </c>
      <c r="D1922" s="120" t="str">
        <f>VLOOKUP(B1922,辅助信息!E:K,7,FALSE)</f>
        <v>JWDDCD2025060900080</v>
      </c>
      <c r="E1922" s="120" t="str">
        <f>VLOOKUP(F1922,辅助信息!A:B,2,FALSE)</f>
        <v>螺纹钢</v>
      </c>
      <c r="F1922" s="40" t="s">
        <v>30</v>
      </c>
      <c r="G1922" s="36">
        <v>3</v>
      </c>
      <c r="H1922" s="121">
        <f>_xlfn.XLOOKUP(C1922&amp;F1922&amp;I1922&amp;J1922,'[1]2025年已发货'!$F:$F&amp;'[1]2025年已发货'!$C:$C&amp;'[1]2025年已发货'!$G:$G&amp;'[1]2025年已发货'!$H:$H,'[1]2025年已发货'!$E:$E,"未发货")</f>
        <v>3</v>
      </c>
      <c r="I1922" s="120" t="str">
        <f>VLOOKUP(B1922,辅助信息!E:I,3,FALSE)</f>
        <v>（华西简阳西城嘉苑）四川省成都市简阳市简城街道高屋村</v>
      </c>
      <c r="J1922" s="120" t="str">
        <f>VLOOKUP(B1922,辅助信息!E:I,4,FALSE)</f>
        <v>张瀚镭</v>
      </c>
      <c r="K1922" s="120">
        <f>VLOOKUP(J1922,辅助信息!H:I,2,FALSE)</f>
        <v>15884666220</v>
      </c>
      <c r="L1922" s="133" t="str">
        <f>VLOOKUP(B1922,辅助信息!E:J,6,FALSE)</f>
        <v>现场禁止使用氢能源挂车！优先威钢发货,我方卸车,新老国标钢厂不加价可直发，因陕钢多次出现磅差，项目拒绝使用</v>
      </c>
      <c r="M1922" s="91">
        <v>45829</v>
      </c>
      <c r="O1922" s="62">
        <f ca="1" t="shared" si="121"/>
        <v>0</v>
      </c>
      <c r="P1922" s="62">
        <f ca="1" t="shared" si="122"/>
        <v>131</v>
      </c>
      <c r="Q1922" s="29" t="str">
        <f>VLOOKUP(B1922,辅助信息!E:M,9,FALSE)</f>
        <v>ZTWM-CDGS-XS-2024-0030-华西集采-简州大道</v>
      </c>
      <c r="R1922" s="29" t="str">
        <f>_xlfn._xlws.FILTER(辅助信息!D:D,辅助信息!E:E=B1922)</f>
        <v>华西简阳西城嘉苑</v>
      </c>
    </row>
    <row r="1923" hidden="1" spans="2:18">
      <c r="B1923" s="40" t="s">
        <v>81</v>
      </c>
      <c r="C1923" s="70">
        <v>45828</v>
      </c>
      <c r="D1923" s="120" t="str">
        <f>VLOOKUP(B1923,辅助信息!E:K,7,FALSE)</f>
        <v>JWDDCD2025060900080</v>
      </c>
      <c r="E1923" s="120" t="str">
        <f>VLOOKUP(F1923,辅助信息!A:B,2,FALSE)</f>
        <v>螺纹钢</v>
      </c>
      <c r="F1923" s="40" t="s">
        <v>33</v>
      </c>
      <c r="G1923" s="36">
        <v>21</v>
      </c>
      <c r="H1923" s="121">
        <f>_xlfn.XLOOKUP(C1923&amp;F1923&amp;I1923&amp;J1923,'[1]2025年已发货'!$F:$F&amp;'[1]2025年已发货'!$C:$C&amp;'[1]2025年已发货'!$G:$G&amp;'[1]2025年已发货'!$H:$H,'[1]2025年已发货'!$E:$E,"未发货")</f>
        <v>21</v>
      </c>
      <c r="I1923" s="120" t="str">
        <f>VLOOKUP(B1923,辅助信息!E:I,3,FALSE)</f>
        <v>（华西简阳西城嘉苑）四川省成都市简阳市简城街道高屋村</v>
      </c>
      <c r="J1923" s="120" t="str">
        <f>VLOOKUP(B1923,辅助信息!E:I,4,FALSE)</f>
        <v>张瀚镭</v>
      </c>
      <c r="K1923" s="120">
        <f>VLOOKUP(J1923,辅助信息!H:I,2,FALSE)</f>
        <v>15884666220</v>
      </c>
      <c r="L1923" s="133" t="str">
        <f>VLOOKUP(B1923,辅助信息!E:J,6,FALSE)</f>
        <v>现场禁止使用氢能源挂车！优先威钢发货,我方卸车,新老国标钢厂不加价可直发，因陕钢多次出现磅差，项目拒绝使用</v>
      </c>
      <c r="M1923" s="91">
        <v>45829</v>
      </c>
      <c r="O1923" s="62">
        <f ca="1" t="shared" si="121"/>
        <v>0</v>
      </c>
      <c r="P1923" s="62">
        <f ca="1" t="shared" si="122"/>
        <v>131</v>
      </c>
      <c r="Q1923" s="29" t="str">
        <f>VLOOKUP(B1923,辅助信息!E:M,9,FALSE)</f>
        <v>ZTWM-CDGS-XS-2024-0030-华西集采-简州大道</v>
      </c>
      <c r="R1923" s="29" t="str">
        <f>_xlfn._xlws.FILTER(辅助信息!D:D,辅助信息!E:E=B1923)</f>
        <v>华西简阳西城嘉苑</v>
      </c>
    </row>
    <row r="1924" hidden="1" spans="2:18">
      <c r="B1924" s="40" t="s">
        <v>81</v>
      </c>
      <c r="C1924" s="70">
        <v>45828</v>
      </c>
      <c r="D1924" s="120" t="str">
        <f>VLOOKUP(B1924,辅助信息!E:K,7,FALSE)</f>
        <v>JWDDCD2025060900080</v>
      </c>
      <c r="E1924" s="120" t="str">
        <f>VLOOKUP(F1924,辅助信息!A:B,2,FALSE)</f>
        <v>螺纹钢</v>
      </c>
      <c r="F1924" s="40" t="s">
        <v>28</v>
      </c>
      <c r="G1924" s="36">
        <v>3</v>
      </c>
      <c r="H1924" s="121">
        <f>_xlfn.XLOOKUP(C1924&amp;F1924&amp;I1924&amp;J1924,'[1]2025年已发货'!$F:$F&amp;'[1]2025年已发货'!$C:$C&amp;'[1]2025年已发货'!$G:$G&amp;'[1]2025年已发货'!$H:$H,'[1]2025年已发货'!$E:$E,"未发货")</f>
        <v>3</v>
      </c>
      <c r="I1924" s="120" t="str">
        <f>VLOOKUP(B1924,辅助信息!E:I,3,FALSE)</f>
        <v>（华西简阳西城嘉苑）四川省成都市简阳市简城街道高屋村</v>
      </c>
      <c r="J1924" s="120" t="str">
        <f>VLOOKUP(B1924,辅助信息!E:I,4,FALSE)</f>
        <v>张瀚镭</v>
      </c>
      <c r="K1924" s="120">
        <f>VLOOKUP(J1924,辅助信息!H:I,2,FALSE)</f>
        <v>15884666220</v>
      </c>
      <c r="L1924" s="133" t="str">
        <f>VLOOKUP(B1924,辅助信息!E:J,6,FALSE)</f>
        <v>现场禁止使用氢能源挂车！优先威钢发货,我方卸车,新老国标钢厂不加价可直发，因陕钢多次出现磅差，项目拒绝使用</v>
      </c>
      <c r="M1924" s="91">
        <v>45829</v>
      </c>
      <c r="O1924" s="62">
        <f ca="1" t="shared" si="121"/>
        <v>0</v>
      </c>
      <c r="P1924" s="62">
        <f ca="1" t="shared" si="122"/>
        <v>131</v>
      </c>
      <c r="Q1924" s="29" t="str">
        <f>VLOOKUP(B1924,辅助信息!E:M,9,FALSE)</f>
        <v>ZTWM-CDGS-XS-2024-0030-华西集采-简州大道</v>
      </c>
      <c r="R1924" s="29" t="str">
        <f>_xlfn._xlws.FILTER(辅助信息!D:D,辅助信息!E:E=B1924)</f>
        <v>华西简阳西城嘉苑</v>
      </c>
    </row>
    <row r="1925" hidden="1" spans="2:18">
      <c r="B1925" s="40" t="s">
        <v>81</v>
      </c>
      <c r="C1925" s="70">
        <v>45828</v>
      </c>
      <c r="D1925" s="120" t="str">
        <f>VLOOKUP(B1925,辅助信息!E:K,7,FALSE)</f>
        <v>JWDDCD2025060900080</v>
      </c>
      <c r="E1925" s="120" t="str">
        <f>VLOOKUP(F1925,辅助信息!A:B,2,FALSE)</f>
        <v>螺纹钢</v>
      </c>
      <c r="F1925" s="40" t="s">
        <v>18</v>
      </c>
      <c r="G1925" s="36">
        <v>5</v>
      </c>
      <c r="H1925" s="121">
        <f>_xlfn.XLOOKUP(C1925&amp;F1925&amp;I1925&amp;J1925,'[1]2025年已发货'!$F:$F&amp;'[1]2025年已发货'!$C:$C&amp;'[1]2025年已发货'!$G:$G&amp;'[1]2025年已发货'!$H:$H,'[1]2025年已发货'!$E:$E,"未发货")</f>
        <v>5</v>
      </c>
      <c r="I1925" s="120" t="str">
        <f>VLOOKUP(B1925,辅助信息!E:I,3,FALSE)</f>
        <v>（华西简阳西城嘉苑）四川省成都市简阳市简城街道高屋村</v>
      </c>
      <c r="J1925" s="120" t="str">
        <f>VLOOKUP(B1925,辅助信息!E:I,4,FALSE)</f>
        <v>张瀚镭</v>
      </c>
      <c r="K1925" s="120">
        <f>VLOOKUP(J1925,辅助信息!H:I,2,FALSE)</f>
        <v>15884666220</v>
      </c>
      <c r="L1925" s="133" t="str">
        <f>VLOOKUP(B1925,辅助信息!E:J,6,FALSE)</f>
        <v>现场禁止使用氢能源挂车！优先威钢发货,我方卸车,新老国标钢厂不加价可直发，因陕钢多次出现磅差，项目拒绝使用</v>
      </c>
      <c r="M1925" s="91">
        <v>45829</v>
      </c>
      <c r="O1925" s="62">
        <f ca="1" t="shared" si="121"/>
        <v>0</v>
      </c>
      <c r="P1925" s="62">
        <f ca="1" t="shared" si="122"/>
        <v>131</v>
      </c>
      <c r="Q1925" s="29" t="str">
        <f>VLOOKUP(B1925,辅助信息!E:M,9,FALSE)</f>
        <v>ZTWM-CDGS-XS-2024-0030-华西集采-简州大道</v>
      </c>
      <c r="R1925" s="29" t="str">
        <f>_xlfn._xlws.FILTER(辅助信息!D:D,辅助信息!E:E=B1925)</f>
        <v>华西简阳西城嘉苑</v>
      </c>
    </row>
    <row r="1926" hidden="1" spans="1:18">
      <c r="A1926" s="71" t="s">
        <v>175</v>
      </c>
      <c r="B1926" s="40" t="s">
        <v>81</v>
      </c>
      <c r="C1926" s="70">
        <v>45830</v>
      </c>
      <c r="D1926" s="120" t="str">
        <f>VLOOKUP(B1926,辅助信息!E:K,7,FALSE)</f>
        <v>JWDDCD2025060900080</v>
      </c>
      <c r="E1926" s="120" t="str">
        <f>VLOOKUP(F1926,辅助信息!A:B,2,FALSE)</f>
        <v>盘螺</v>
      </c>
      <c r="F1926" s="40" t="s">
        <v>49</v>
      </c>
      <c r="G1926" s="36">
        <v>2.5</v>
      </c>
      <c r="H1926" s="121">
        <f>_xlfn.XLOOKUP(C1926&amp;F1926&amp;I1926&amp;J1926,'[1]2025年已发货'!$F:$F&amp;'[1]2025年已发货'!$C:$C&amp;'[1]2025年已发货'!$G:$G&amp;'[1]2025年已发货'!$H:$H,'[1]2025年已发货'!$E:$E,"未发货")</f>
        <v>2.5</v>
      </c>
      <c r="I1926" s="120" t="str">
        <f>VLOOKUP(B1926,辅助信息!E:I,3,FALSE)</f>
        <v>（华西简阳西城嘉苑）四川省成都市简阳市简城街道高屋村</v>
      </c>
      <c r="J1926" s="120" t="str">
        <f>VLOOKUP(B1926,辅助信息!E:I,4,FALSE)</f>
        <v>张瀚镭</v>
      </c>
      <c r="K1926" s="120">
        <f>VLOOKUP(J1926,辅助信息!H:I,2,FALSE)</f>
        <v>15884666220</v>
      </c>
      <c r="L1926" s="133" t="str">
        <f>VLOOKUP(B1926,辅助信息!E:J,6,FALSE)</f>
        <v>现场禁止使用氢能源挂车！优先威钢发货,我方卸车,新老国标钢厂不加价可直发，因陕钢多次出现磅差，项目拒绝使用</v>
      </c>
      <c r="M1926" s="91">
        <v>45831</v>
      </c>
      <c r="O1926" s="62">
        <f ca="1" t="shared" ref="O1926:O1940" si="123">IF(OR(M1926="",N1926&lt;&gt;""),"",MAX(M1926-TODAY(),0))</f>
        <v>0</v>
      </c>
      <c r="P1926" s="62">
        <f ca="1" t="shared" ref="P1926:P1940" si="124">IF(M1926="","",IF(N1926&lt;&gt;"",MAX(N1926-M1926,0),IF(TODAY()&gt;M1926,TODAY()-M1926,0)))</f>
        <v>129</v>
      </c>
      <c r="Q1926" s="29" t="str">
        <f>VLOOKUP(B1926,辅助信息!E:M,9,FALSE)</f>
        <v>ZTWM-CDGS-XS-2024-0030-华西集采-简州大道</v>
      </c>
      <c r="R1926" s="29" t="str">
        <f>_xlfn._xlws.FILTER(辅助信息!D:D,辅助信息!E:E=B1926)</f>
        <v>华西简阳西城嘉苑</v>
      </c>
    </row>
    <row r="1927" hidden="1" spans="1:18">
      <c r="A1927" s="71"/>
      <c r="B1927" s="40" t="s">
        <v>81</v>
      </c>
      <c r="C1927" s="70">
        <v>45830</v>
      </c>
      <c r="D1927" s="120" t="str">
        <f>VLOOKUP(B1927,辅助信息!E:K,7,FALSE)</f>
        <v>JWDDCD2025060900080</v>
      </c>
      <c r="E1927" s="120" t="str">
        <f>VLOOKUP(F1927,辅助信息!A:B,2,FALSE)</f>
        <v>盘螺</v>
      </c>
      <c r="F1927" s="40" t="s">
        <v>40</v>
      </c>
      <c r="G1927" s="36">
        <v>27</v>
      </c>
      <c r="H1927" s="121">
        <f>_xlfn.XLOOKUP(C1927&amp;F1927&amp;I1927&amp;J1927,'[1]2025年已发货'!$F:$F&amp;'[1]2025年已发货'!$C:$C&amp;'[1]2025年已发货'!$G:$G&amp;'[1]2025年已发货'!$H:$H,'[1]2025年已发货'!$E:$E,"未发货")</f>
        <v>27</v>
      </c>
      <c r="I1927" s="120" t="str">
        <f>VLOOKUP(B1927,辅助信息!E:I,3,FALSE)</f>
        <v>（华西简阳西城嘉苑）四川省成都市简阳市简城街道高屋村</v>
      </c>
      <c r="J1927" s="120" t="str">
        <f>VLOOKUP(B1927,辅助信息!E:I,4,FALSE)</f>
        <v>张瀚镭</v>
      </c>
      <c r="K1927" s="120">
        <f>VLOOKUP(J1927,辅助信息!H:I,2,FALSE)</f>
        <v>15884666220</v>
      </c>
      <c r="L1927" s="133" t="str">
        <f>VLOOKUP(B1927,辅助信息!E:J,6,FALSE)</f>
        <v>现场禁止使用氢能源挂车！优先威钢发货,我方卸车,新老国标钢厂不加价可直发，因陕钢多次出现磅差，项目拒绝使用</v>
      </c>
      <c r="M1927" s="91">
        <v>45831</v>
      </c>
      <c r="O1927" s="62">
        <f ca="1" t="shared" si="123"/>
        <v>0</v>
      </c>
      <c r="P1927" s="62">
        <f ca="1" t="shared" si="124"/>
        <v>129</v>
      </c>
      <c r="Q1927" s="29" t="str">
        <f>VLOOKUP(B1927,辅助信息!E:M,9,FALSE)</f>
        <v>ZTWM-CDGS-XS-2024-0030-华西集采-简州大道</v>
      </c>
      <c r="R1927" s="29" t="str">
        <f>_xlfn._xlws.FILTER(辅助信息!D:D,辅助信息!E:E=B1927)</f>
        <v>华西简阳西城嘉苑</v>
      </c>
    </row>
    <row r="1928" hidden="1" spans="1:18">
      <c r="A1928" s="71"/>
      <c r="B1928" s="40" t="s">
        <v>81</v>
      </c>
      <c r="C1928" s="70">
        <v>45830</v>
      </c>
      <c r="D1928" s="120" t="str">
        <f>VLOOKUP(B1928,辅助信息!E:K,7,FALSE)</f>
        <v>JWDDCD2025060900080</v>
      </c>
      <c r="E1928" s="120" t="str">
        <f>VLOOKUP(F1928,辅助信息!A:B,2,FALSE)</f>
        <v>盘螺</v>
      </c>
      <c r="F1928" s="40" t="s">
        <v>41</v>
      </c>
      <c r="G1928" s="36">
        <v>44</v>
      </c>
      <c r="H1928" s="121">
        <f>_xlfn.XLOOKUP(C1928&amp;F1928&amp;I1928&amp;J1928,'[1]2025年已发货'!$F:$F&amp;'[1]2025年已发货'!$C:$C&amp;'[1]2025年已发货'!$G:$G&amp;'[1]2025年已发货'!$H:$H,'[1]2025年已发货'!$E:$E,"未发货")</f>
        <v>46</v>
      </c>
      <c r="I1928" s="120" t="str">
        <f>VLOOKUP(B1928,辅助信息!E:I,3,FALSE)</f>
        <v>（华西简阳西城嘉苑）四川省成都市简阳市简城街道高屋村</v>
      </c>
      <c r="J1928" s="120" t="str">
        <f>VLOOKUP(B1928,辅助信息!E:I,4,FALSE)</f>
        <v>张瀚镭</v>
      </c>
      <c r="K1928" s="120">
        <f>VLOOKUP(J1928,辅助信息!H:I,2,FALSE)</f>
        <v>15884666220</v>
      </c>
      <c r="L1928" s="133" t="str">
        <f>VLOOKUP(B1928,辅助信息!E:J,6,FALSE)</f>
        <v>现场禁止使用氢能源挂车！优先威钢发货,我方卸车,新老国标钢厂不加价可直发，因陕钢多次出现磅差，项目拒绝使用</v>
      </c>
      <c r="M1928" s="91">
        <v>45831</v>
      </c>
      <c r="O1928" s="62">
        <f ca="1" t="shared" si="123"/>
        <v>0</v>
      </c>
      <c r="P1928" s="62">
        <f ca="1" t="shared" si="124"/>
        <v>129</v>
      </c>
      <c r="Q1928" s="29" t="str">
        <f>VLOOKUP(B1928,辅助信息!E:M,9,FALSE)</f>
        <v>ZTWM-CDGS-XS-2024-0030-华西集采-简州大道</v>
      </c>
      <c r="R1928" s="29" t="str">
        <f>_xlfn._xlws.FILTER(辅助信息!D:D,辅助信息!E:E=B1928)</f>
        <v>华西简阳西城嘉苑</v>
      </c>
    </row>
    <row r="1929" hidden="1" spans="1:18">
      <c r="A1929" s="71"/>
      <c r="B1929" s="40" t="s">
        <v>81</v>
      </c>
      <c r="C1929" s="70">
        <v>45830</v>
      </c>
      <c r="D1929" s="120" t="str">
        <f>VLOOKUP(B1929,辅助信息!E:K,7,FALSE)</f>
        <v>JWDDCD2025060900080</v>
      </c>
      <c r="E1929" s="120" t="str">
        <f>VLOOKUP(F1929,辅助信息!A:B,2,FALSE)</f>
        <v>盘螺</v>
      </c>
      <c r="F1929" s="40" t="s">
        <v>26</v>
      </c>
      <c r="G1929" s="36">
        <v>27</v>
      </c>
      <c r="H1929" s="121" t="str">
        <f>_xlfn.XLOOKUP(C1929&amp;F1929&amp;I1929&amp;J1929,'[1]2025年已发货'!$F:$F&amp;'[1]2025年已发货'!$C:$C&amp;'[1]2025年已发货'!$G:$G&amp;'[1]2025年已发货'!$H:$H,'[1]2025年已发货'!$E:$E,"未发货")</f>
        <v>未发货</v>
      </c>
      <c r="I1929" s="120" t="str">
        <f>VLOOKUP(B1929,辅助信息!E:I,3,FALSE)</f>
        <v>（华西简阳西城嘉苑）四川省成都市简阳市简城街道高屋村</v>
      </c>
      <c r="J1929" s="120" t="str">
        <f>VLOOKUP(B1929,辅助信息!E:I,4,FALSE)</f>
        <v>张瀚镭</v>
      </c>
      <c r="K1929" s="120">
        <f>VLOOKUP(J1929,辅助信息!H:I,2,FALSE)</f>
        <v>15884666220</v>
      </c>
      <c r="L1929" s="133" t="str">
        <f>VLOOKUP(B1929,辅助信息!E:J,6,FALSE)</f>
        <v>现场禁止使用氢能源挂车！优先威钢发货,我方卸车,新老国标钢厂不加价可直发，因陕钢多次出现磅差，项目拒绝使用</v>
      </c>
      <c r="M1929" s="91">
        <v>45831</v>
      </c>
      <c r="O1929" s="62">
        <f ca="1" t="shared" si="123"/>
        <v>0</v>
      </c>
      <c r="P1929" s="62">
        <f ca="1" t="shared" si="124"/>
        <v>129</v>
      </c>
      <c r="Q1929" s="29" t="str">
        <f>VLOOKUP(B1929,辅助信息!E:M,9,FALSE)</f>
        <v>ZTWM-CDGS-XS-2024-0030-华西集采-简州大道</v>
      </c>
      <c r="R1929" s="29" t="str">
        <f>_xlfn._xlws.FILTER(辅助信息!D:D,辅助信息!E:E=B1929)</f>
        <v>华西简阳西城嘉苑</v>
      </c>
    </row>
    <row r="1930" hidden="1" spans="1:18">
      <c r="A1930" s="71"/>
      <c r="B1930" s="40" t="s">
        <v>81</v>
      </c>
      <c r="C1930" s="70">
        <v>45830</v>
      </c>
      <c r="D1930" s="120" t="str">
        <f>VLOOKUP(B1930,辅助信息!E:K,7,FALSE)</f>
        <v>JWDDCD2025060900080</v>
      </c>
      <c r="E1930" s="120" t="str">
        <f>VLOOKUP(F1930,辅助信息!A:B,2,FALSE)</f>
        <v>螺纹钢</v>
      </c>
      <c r="F1930" s="40" t="s">
        <v>19</v>
      </c>
      <c r="G1930" s="36">
        <v>30</v>
      </c>
      <c r="H1930" s="121">
        <f>_xlfn.XLOOKUP(C1930&amp;F1930&amp;I1930&amp;J1930,'[1]2025年已发货'!$F:$F&amp;'[1]2025年已发货'!$C:$C&amp;'[1]2025年已发货'!$G:$G&amp;'[1]2025年已发货'!$H:$H,'[1]2025年已发货'!$E:$E,"未发货")</f>
        <v>30</v>
      </c>
      <c r="I1930" s="120" t="str">
        <f>VLOOKUP(B1930,辅助信息!E:I,3,FALSE)</f>
        <v>（华西简阳西城嘉苑）四川省成都市简阳市简城街道高屋村</v>
      </c>
      <c r="J1930" s="120" t="str">
        <f>VLOOKUP(B1930,辅助信息!E:I,4,FALSE)</f>
        <v>张瀚镭</v>
      </c>
      <c r="K1930" s="120">
        <f>VLOOKUP(J1930,辅助信息!H:I,2,FALSE)</f>
        <v>15884666220</v>
      </c>
      <c r="L1930" s="133" t="str">
        <f>VLOOKUP(B1930,辅助信息!E:J,6,FALSE)</f>
        <v>现场禁止使用氢能源挂车！优先威钢发货,我方卸车,新老国标钢厂不加价可直发，因陕钢多次出现磅差，项目拒绝使用</v>
      </c>
      <c r="M1930" s="91">
        <v>45831</v>
      </c>
      <c r="O1930" s="62">
        <f ca="1" t="shared" si="123"/>
        <v>0</v>
      </c>
      <c r="P1930" s="62">
        <f ca="1" t="shared" si="124"/>
        <v>129</v>
      </c>
      <c r="Q1930" s="29" t="str">
        <f>VLOOKUP(B1930,辅助信息!E:M,9,FALSE)</f>
        <v>ZTWM-CDGS-XS-2024-0030-华西集采-简州大道</v>
      </c>
      <c r="R1930" s="29" t="str">
        <f>_xlfn._xlws.FILTER(辅助信息!D:D,辅助信息!E:E=B1930)</f>
        <v>华西简阳西城嘉苑</v>
      </c>
    </row>
    <row r="1931" hidden="1" spans="1:18">
      <c r="A1931" s="71"/>
      <c r="B1931" s="40" t="s">
        <v>81</v>
      </c>
      <c r="C1931" s="70">
        <v>45830</v>
      </c>
      <c r="D1931" s="120" t="str">
        <f>VLOOKUP(B1931,辅助信息!E:K,7,FALSE)</f>
        <v>JWDDCD2025060900080</v>
      </c>
      <c r="E1931" s="120" t="str">
        <f>VLOOKUP(F1931,辅助信息!A:B,2,FALSE)</f>
        <v>螺纹钢</v>
      </c>
      <c r="F1931" s="40" t="s">
        <v>32</v>
      </c>
      <c r="G1931" s="36">
        <v>52</v>
      </c>
      <c r="H1931" s="121">
        <f>_xlfn.XLOOKUP(C1931&amp;F1931&amp;I1931&amp;J1931,'[1]2025年已发货'!$F:$F&amp;'[1]2025年已发货'!$C:$C&amp;'[1]2025年已发货'!$G:$G&amp;'[1]2025年已发货'!$H:$H,'[1]2025年已发货'!$E:$E,"未发货")</f>
        <v>30</v>
      </c>
      <c r="I1931" s="120" t="str">
        <f>VLOOKUP(B1931,辅助信息!E:I,3,FALSE)</f>
        <v>（华西简阳西城嘉苑）四川省成都市简阳市简城街道高屋村</v>
      </c>
      <c r="J1931" s="120" t="str">
        <f>VLOOKUP(B1931,辅助信息!E:I,4,FALSE)</f>
        <v>张瀚镭</v>
      </c>
      <c r="K1931" s="120">
        <f>VLOOKUP(J1931,辅助信息!H:I,2,FALSE)</f>
        <v>15884666220</v>
      </c>
      <c r="L1931" s="133" t="str">
        <f>VLOOKUP(B1931,辅助信息!E:J,6,FALSE)</f>
        <v>现场禁止使用氢能源挂车！优先威钢发货,我方卸车,新老国标钢厂不加价可直发，因陕钢多次出现磅差，项目拒绝使用</v>
      </c>
      <c r="M1931" s="91">
        <v>45831</v>
      </c>
      <c r="O1931" s="62">
        <f ca="1" t="shared" si="123"/>
        <v>0</v>
      </c>
      <c r="P1931" s="62">
        <f ca="1" t="shared" si="124"/>
        <v>129</v>
      </c>
      <c r="Q1931" s="29" t="str">
        <f>VLOOKUP(B1931,辅助信息!E:M,9,FALSE)</f>
        <v>ZTWM-CDGS-XS-2024-0030-华西集采-简州大道</v>
      </c>
      <c r="R1931" s="29" t="str">
        <f>_xlfn._xlws.FILTER(辅助信息!D:D,辅助信息!E:E=B1931)</f>
        <v>华西简阳西城嘉苑</v>
      </c>
    </row>
    <row r="1932" hidden="1" spans="1:18">
      <c r="A1932" s="71"/>
      <c r="B1932" s="40" t="s">
        <v>81</v>
      </c>
      <c r="C1932" s="70">
        <v>45830</v>
      </c>
      <c r="D1932" s="120" t="str">
        <f>VLOOKUP(B1932,辅助信息!E:K,7,FALSE)</f>
        <v>JWDDCD2025060900080</v>
      </c>
      <c r="E1932" s="120" t="str">
        <f>VLOOKUP(F1932,辅助信息!A:B,2,FALSE)</f>
        <v>螺纹钢</v>
      </c>
      <c r="F1932" s="40" t="s">
        <v>30</v>
      </c>
      <c r="G1932" s="36">
        <v>2.5</v>
      </c>
      <c r="H1932" s="121">
        <f>_xlfn.XLOOKUP(C1932&amp;F1932&amp;I1932&amp;J1932,'[1]2025年已发货'!$F:$F&amp;'[1]2025年已发货'!$C:$C&amp;'[1]2025年已发货'!$G:$G&amp;'[1]2025年已发货'!$H:$H,'[1]2025年已发货'!$E:$E,"未发货")</f>
        <v>3</v>
      </c>
      <c r="I1932" s="120" t="str">
        <f>VLOOKUP(B1932,辅助信息!E:I,3,FALSE)</f>
        <v>（华西简阳西城嘉苑）四川省成都市简阳市简城街道高屋村</v>
      </c>
      <c r="J1932" s="120" t="str">
        <f>VLOOKUP(B1932,辅助信息!E:I,4,FALSE)</f>
        <v>张瀚镭</v>
      </c>
      <c r="K1932" s="120">
        <f>VLOOKUP(J1932,辅助信息!H:I,2,FALSE)</f>
        <v>15884666220</v>
      </c>
      <c r="L1932" s="133" t="str">
        <f>VLOOKUP(B1932,辅助信息!E:J,6,FALSE)</f>
        <v>现场禁止使用氢能源挂车！优先威钢发货,我方卸车,新老国标钢厂不加价可直发，因陕钢多次出现磅差，项目拒绝使用</v>
      </c>
      <c r="M1932" s="91">
        <v>45831</v>
      </c>
      <c r="O1932" s="62">
        <f ca="1" t="shared" si="123"/>
        <v>0</v>
      </c>
      <c r="P1932" s="62">
        <f ca="1" t="shared" si="124"/>
        <v>129</v>
      </c>
      <c r="Q1932" s="29" t="str">
        <f>VLOOKUP(B1932,辅助信息!E:M,9,FALSE)</f>
        <v>ZTWM-CDGS-XS-2024-0030-华西集采-简州大道</v>
      </c>
      <c r="R1932" s="29" t="str">
        <f>_xlfn._xlws.FILTER(辅助信息!D:D,辅助信息!E:E=B1932)</f>
        <v>华西简阳西城嘉苑</v>
      </c>
    </row>
    <row r="1933" hidden="1" spans="1:18">
      <c r="A1933" s="71"/>
      <c r="B1933" s="40" t="s">
        <v>81</v>
      </c>
      <c r="C1933" s="70">
        <v>45830</v>
      </c>
      <c r="D1933" s="120" t="str">
        <f>VLOOKUP(B1933,辅助信息!E:K,7,FALSE)</f>
        <v>JWDDCD2025060900080</v>
      </c>
      <c r="E1933" s="120" t="str">
        <f>VLOOKUP(F1933,辅助信息!A:B,2,FALSE)</f>
        <v>螺纹钢</v>
      </c>
      <c r="F1933" s="40" t="s">
        <v>33</v>
      </c>
      <c r="G1933" s="36">
        <v>30</v>
      </c>
      <c r="H1933" s="121" t="str">
        <f>_xlfn.XLOOKUP(C1933&amp;F1933&amp;I1933&amp;J1933,'[1]2025年已发货'!$F:$F&amp;'[1]2025年已发货'!$C:$C&amp;'[1]2025年已发货'!$G:$G&amp;'[1]2025年已发货'!$H:$H,'[1]2025年已发货'!$E:$E,"未发货")</f>
        <v>未发货</v>
      </c>
      <c r="I1933" s="120" t="str">
        <f>VLOOKUP(B1933,辅助信息!E:I,3,FALSE)</f>
        <v>（华西简阳西城嘉苑）四川省成都市简阳市简城街道高屋村</v>
      </c>
      <c r="J1933" s="120" t="str">
        <f>VLOOKUP(B1933,辅助信息!E:I,4,FALSE)</f>
        <v>张瀚镭</v>
      </c>
      <c r="K1933" s="120">
        <f>VLOOKUP(J1933,辅助信息!H:I,2,FALSE)</f>
        <v>15884666220</v>
      </c>
      <c r="L1933" s="133" t="str">
        <f>VLOOKUP(B1933,辅助信息!E:J,6,FALSE)</f>
        <v>现场禁止使用氢能源挂车！优先威钢发货,我方卸车,新老国标钢厂不加价可直发，因陕钢多次出现磅差，项目拒绝使用</v>
      </c>
      <c r="M1933" s="91">
        <v>45831</v>
      </c>
      <c r="O1933" s="62">
        <f ca="1" t="shared" si="123"/>
        <v>0</v>
      </c>
      <c r="P1933" s="62">
        <f ca="1" t="shared" si="124"/>
        <v>129</v>
      </c>
      <c r="Q1933" s="29" t="str">
        <f>VLOOKUP(B1933,辅助信息!E:M,9,FALSE)</f>
        <v>ZTWM-CDGS-XS-2024-0030-华西集采-简州大道</v>
      </c>
      <c r="R1933" s="29" t="str">
        <f>_xlfn._xlws.FILTER(辅助信息!D:D,辅助信息!E:E=B1933)</f>
        <v>华西简阳西城嘉苑</v>
      </c>
    </row>
    <row r="1934" hidden="1" spans="1:18">
      <c r="A1934" s="71"/>
      <c r="B1934" s="40" t="s">
        <v>81</v>
      </c>
      <c r="C1934" s="70">
        <v>45830</v>
      </c>
      <c r="D1934" s="120" t="str">
        <f>VLOOKUP(B1934,辅助信息!E:K,7,FALSE)</f>
        <v>JWDDCD2025060900080</v>
      </c>
      <c r="E1934" s="120" t="str">
        <f>VLOOKUP(F1934,辅助信息!A:B,2,FALSE)</f>
        <v>螺纹钢</v>
      </c>
      <c r="F1934" s="40" t="s">
        <v>28</v>
      </c>
      <c r="G1934" s="36">
        <v>5</v>
      </c>
      <c r="H1934" s="121">
        <f>_xlfn.XLOOKUP(C1934&amp;F1934&amp;I1934&amp;J1934,'[1]2025年已发货'!$F:$F&amp;'[1]2025年已发货'!$C:$C&amp;'[1]2025年已发货'!$G:$G&amp;'[1]2025年已发货'!$H:$H,'[1]2025年已发货'!$E:$E,"未发货")</f>
        <v>6</v>
      </c>
      <c r="I1934" s="120" t="str">
        <f>VLOOKUP(B1934,辅助信息!E:I,3,FALSE)</f>
        <v>（华西简阳西城嘉苑）四川省成都市简阳市简城街道高屋村</v>
      </c>
      <c r="J1934" s="120" t="str">
        <f>VLOOKUP(B1934,辅助信息!E:I,4,FALSE)</f>
        <v>张瀚镭</v>
      </c>
      <c r="K1934" s="120">
        <f>VLOOKUP(J1934,辅助信息!H:I,2,FALSE)</f>
        <v>15884666220</v>
      </c>
      <c r="L1934" s="133" t="str">
        <f>VLOOKUP(B1934,辅助信息!E:J,6,FALSE)</f>
        <v>现场禁止使用氢能源挂车！优先威钢发货,我方卸车,新老国标钢厂不加价可直发，因陕钢多次出现磅差，项目拒绝使用</v>
      </c>
      <c r="M1934" s="91">
        <v>45831</v>
      </c>
      <c r="O1934" s="62">
        <f ca="1" t="shared" si="123"/>
        <v>0</v>
      </c>
      <c r="P1934" s="62">
        <f ca="1" t="shared" si="124"/>
        <v>129</v>
      </c>
      <c r="Q1934" s="29" t="str">
        <f>VLOOKUP(B1934,辅助信息!E:M,9,FALSE)</f>
        <v>ZTWM-CDGS-XS-2024-0030-华西集采-简州大道</v>
      </c>
      <c r="R1934" s="29" t="str">
        <f>_xlfn._xlws.FILTER(辅助信息!D:D,辅助信息!E:E=B1934)</f>
        <v>华西简阳西城嘉苑</v>
      </c>
    </row>
    <row r="1935" hidden="1" spans="1:18">
      <c r="A1935" s="71"/>
      <c r="B1935" s="40" t="s">
        <v>81</v>
      </c>
      <c r="C1935" s="70">
        <v>45830</v>
      </c>
      <c r="D1935" s="120" t="str">
        <f>VLOOKUP(B1935,辅助信息!E:K,7,FALSE)</f>
        <v>JWDDCD2025060900080</v>
      </c>
      <c r="E1935" s="120" t="str">
        <f>VLOOKUP(F1935,辅助信息!A:B,2,FALSE)</f>
        <v>螺纹钢</v>
      </c>
      <c r="F1935" s="40" t="s">
        <v>18</v>
      </c>
      <c r="G1935" s="36">
        <v>6</v>
      </c>
      <c r="H1935" s="121" t="str">
        <f>_xlfn.XLOOKUP(C1935&amp;F1935&amp;I1935&amp;J1935,'[1]2025年已发货'!$F:$F&amp;'[1]2025年已发货'!$C:$C&amp;'[1]2025年已发货'!$G:$G&amp;'[1]2025年已发货'!$H:$H,'[1]2025年已发货'!$E:$E,"未发货")</f>
        <v>未发货</v>
      </c>
      <c r="I1935" s="120" t="str">
        <f>VLOOKUP(B1935,辅助信息!E:I,3,FALSE)</f>
        <v>（华西简阳西城嘉苑）四川省成都市简阳市简城街道高屋村</v>
      </c>
      <c r="J1935" s="120" t="str">
        <f>VLOOKUP(B1935,辅助信息!E:I,4,FALSE)</f>
        <v>张瀚镭</v>
      </c>
      <c r="K1935" s="120">
        <f>VLOOKUP(J1935,辅助信息!H:I,2,FALSE)</f>
        <v>15884666220</v>
      </c>
      <c r="L1935" s="133" t="str">
        <f>VLOOKUP(B1935,辅助信息!E:J,6,FALSE)</f>
        <v>现场禁止使用氢能源挂车！优先威钢发货,我方卸车,新老国标钢厂不加价可直发，因陕钢多次出现磅差，项目拒绝使用</v>
      </c>
      <c r="M1935" s="91">
        <v>45831</v>
      </c>
      <c r="O1935" s="62">
        <f ca="1" t="shared" si="123"/>
        <v>0</v>
      </c>
      <c r="P1935" s="62">
        <f ca="1" t="shared" si="124"/>
        <v>129</v>
      </c>
      <c r="Q1935" s="29" t="str">
        <f>VLOOKUP(B1935,辅助信息!E:M,9,FALSE)</f>
        <v>ZTWM-CDGS-XS-2024-0030-华西集采-简州大道</v>
      </c>
      <c r="R1935" s="29" t="str">
        <f>_xlfn._xlws.FILTER(辅助信息!D:D,辅助信息!E:E=B1935)</f>
        <v>华西简阳西城嘉苑</v>
      </c>
    </row>
    <row r="1936" hidden="1" spans="2:18">
      <c r="B1936" s="40" t="s">
        <v>47</v>
      </c>
      <c r="C1936" s="70">
        <v>45828</v>
      </c>
      <c r="D1936" s="120" t="str">
        <f>VLOOKUP(B1936,辅助信息!E:K,7,FALSE)</f>
        <v>JWDDCD2025052800131</v>
      </c>
      <c r="E1936" s="120" t="str">
        <f>VLOOKUP(F1936,辅助信息!A:B,2,FALSE)</f>
        <v>盘螺</v>
      </c>
      <c r="F1936" s="40" t="s">
        <v>40</v>
      </c>
      <c r="G1936" s="36">
        <v>23</v>
      </c>
      <c r="H1936" s="121">
        <f>_xlfn.XLOOKUP(C1936&amp;F1936&amp;I1936&amp;J1936,'[1]2025年已发货'!$F:$F&amp;'[1]2025年已发货'!$C:$C&amp;'[1]2025年已发货'!$G:$G&amp;'[1]2025年已发货'!$H:$H,'[1]2025年已发货'!$E:$E,"未发货")</f>
        <v>23</v>
      </c>
      <c r="I1936" s="120" t="str">
        <f>VLOOKUP(B1936,辅助信息!E:I,3,FALSE)</f>
        <v>（商投建工达州中医药科技园-1工区）达州市通川区达州中医药职业学院犀牛大道北段</v>
      </c>
      <c r="J1936" s="120" t="str">
        <f>VLOOKUP(B1936,辅助信息!E:I,4,FALSE)</f>
        <v>程黄刚</v>
      </c>
      <c r="K1936" s="120">
        <f>VLOOKUP(J1936,辅助信息!H:I,2,FALSE)</f>
        <v>15108211617</v>
      </c>
      <c r="L1936" s="133" t="str">
        <f>VLOOKUP(B1936,辅助信息!E:J,6,FALSE)</f>
        <v>控制炉批号！多了现场不收！,优先安排达钢,提前联系到场规格及数量</v>
      </c>
      <c r="M1936" s="91">
        <v>45830</v>
      </c>
      <c r="O1936" s="62">
        <f ca="1" t="shared" si="123"/>
        <v>0</v>
      </c>
      <c r="P1936" s="62">
        <f ca="1" t="shared" si="124"/>
        <v>130</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0">
        <v>45828</v>
      </c>
      <c r="D1937" s="120" t="str">
        <f>VLOOKUP(B1937,辅助信息!E:K,7,FALSE)</f>
        <v>JWDDCD2025052800131</v>
      </c>
      <c r="E1937" s="120" t="str">
        <f>VLOOKUP(F1937,辅助信息!A:B,2,FALSE)</f>
        <v>盘螺</v>
      </c>
      <c r="F1937" s="40" t="s">
        <v>41</v>
      </c>
      <c r="G1937" s="36">
        <v>15</v>
      </c>
      <c r="H1937" s="121">
        <f>_xlfn.XLOOKUP(C1937&amp;F1937&amp;I1937&amp;J1937,'[1]2025年已发货'!$F:$F&amp;'[1]2025年已发货'!$C:$C&amp;'[1]2025年已发货'!$G:$G&amp;'[1]2025年已发货'!$H:$H,'[1]2025年已发货'!$E:$E,"未发货")</f>
        <v>15</v>
      </c>
      <c r="I1937" s="120" t="str">
        <f>VLOOKUP(B1937,辅助信息!E:I,3,FALSE)</f>
        <v>（商投建工达州中医药科技园-1工区）达州市通川区达州中医药职业学院犀牛大道北段</v>
      </c>
      <c r="J1937" s="120" t="str">
        <f>VLOOKUP(B1937,辅助信息!E:I,4,FALSE)</f>
        <v>程黄刚</v>
      </c>
      <c r="K1937" s="120">
        <f>VLOOKUP(J1937,辅助信息!H:I,2,FALSE)</f>
        <v>15108211617</v>
      </c>
      <c r="L1937" s="133" t="str">
        <f>VLOOKUP(B1937,辅助信息!E:J,6,FALSE)</f>
        <v>控制炉批号！多了现场不收！,优先安排达钢,提前联系到场规格及数量</v>
      </c>
      <c r="M1937" s="91">
        <v>45830</v>
      </c>
      <c r="O1937" s="62">
        <f ca="1" t="shared" si="123"/>
        <v>0</v>
      </c>
      <c r="P1937" s="62">
        <f ca="1" t="shared" si="124"/>
        <v>130</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0">
        <v>45828</v>
      </c>
      <c r="D1938" s="120" t="str">
        <f>VLOOKUP(B1938,辅助信息!E:K,7,FALSE)</f>
        <v>JWDDCD2025052800131</v>
      </c>
      <c r="E1938" s="120" t="str">
        <f>VLOOKUP(F1938,辅助信息!A:B,2,FALSE)</f>
        <v>螺纹钢</v>
      </c>
      <c r="F1938" s="40" t="s">
        <v>30</v>
      </c>
      <c r="G1938" s="36">
        <v>12</v>
      </c>
      <c r="H1938" s="121">
        <f>_xlfn.XLOOKUP(C1938&amp;F1938&amp;I1938&amp;J1938,'[1]2025年已发货'!$F:$F&amp;'[1]2025年已发货'!$C:$C&amp;'[1]2025年已发货'!$G:$G&amp;'[1]2025年已发货'!$H:$H,'[1]2025年已发货'!$E:$E,"未发货")</f>
        <v>12</v>
      </c>
      <c r="I1938" s="120" t="str">
        <f>VLOOKUP(B1938,辅助信息!E:I,3,FALSE)</f>
        <v>（商投建工达州中医药科技园-1工区）达州市通川区达州中医药职业学院犀牛大道北段</v>
      </c>
      <c r="J1938" s="120" t="str">
        <f>VLOOKUP(B1938,辅助信息!E:I,4,FALSE)</f>
        <v>程黄刚</v>
      </c>
      <c r="K1938" s="120">
        <f>VLOOKUP(J1938,辅助信息!H:I,2,FALSE)</f>
        <v>15108211617</v>
      </c>
      <c r="L1938" s="133" t="str">
        <f>VLOOKUP(B1938,辅助信息!E:J,6,FALSE)</f>
        <v>控制炉批号！多了现场不收！,优先安排达钢,提前联系到场规格及数量</v>
      </c>
      <c r="M1938" s="91">
        <v>45830</v>
      </c>
      <c r="O1938" s="62">
        <f ca="1" t="shared" si="123"/>
        <v>0</v>
      </c>
      <c r="P1938" s="62">
        <f ca="1" t="shared" si="124"/>
        <v>130</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0">
        <v>45828</v>
      </c>
      <c r="D1939" s="120" t="str">
        <f>VLOOKUP(B1939,辅助信息!E:K,7,FALSE)</f>
        <v>JWDDCD2025052800131</v>
      </c>
      <c r="E1939" s="120" t="str">
        <f>VLOOKUP(F1939,辅助信息!A:B,2,FALSE)</f>
        <v>螺纹钢</v>
      </c>
      <c r="F1939" s="40" t="s">
        <v>33</v>
      </c>
      <c r="G1939" s="36">
        <v>6</v>
      </c>
      <c r="H1939" s="121">
        <f>_xlfn.XLOOKUP(C1939&amp;F1939&amp;I1939&amp;J1939,'[1]2025年已发货'!$F:$F&amp;'[1]2025年已发货'!$C:$C&amp;'[1]2025年已发货'!$G:$G&amp;'[1]2025年已发货'!$H:$H,'[1]2025年已发货'!$E:$E,"未发货")</f>
        <v>6</v>
      </c>
      <c r="I1939" s="120" t="str">
        <f>VLOOKUP(B1939,辅助信息!E:I,3,FALSE)</f>
        <v>（商投建工达州中医药科技园-1工区）达州市通川区达州中医药职业学院犀牛大道北段</v>
      </c>
      <c r="J1939" s="120" t="str">
        <f>VLOOKUP(B1939,辅助信息!E:I,4,FALSE)</f>
        <v>程黄刚</v>
      </c>
      <c r="K1939" s="120">
        <f>VLOOKUP(J1939,辅助信息!H:I,2,FALSE)</f>
        <v>15108211617</v>
      </c>
      <c r="L1939" s="133" t="str">
        <f>VLOOKUP(B1939,辅助信息!E:J,6,FALSE)</f>
        <v>控制炉批号！多了现场不收！,优先安排达钢,提前联系到场规格及数量</v>
      </c>
      <c r="M1939" s="91">
        <v>45830</v>
      </c>
      <c r="O1939" s="62">
        <f ca="1" t="shared" si="123"/>
        <v>0</v>
      </c>
      <c r="P1939" s="62">
        <f ca="1" t="shared" si="124"/>
        <v>130</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0">
        <v>45830</v>
      </c>
      <c r="D1940" s="120" t="str">
        <f>VLOOKUP(B1940,辅助信息!E:K,7,FALSE)</f>
        <v>JWDDCD2025052800131</v>
      </c>
      <c r="E1940" s="120" t="str">
        <f>VLOOKUP(F1940,辅助信息!A:B,2,FALSE)</f>
        <v>盘螺</v>
      </c>
      <c r="F1940" s="40" t="s">
        <v>40</v>
      </c>
      <c r="G1940" s="36">
        <v>35</v>
      </c>
      <c r="H1940" s="121">
        <f>_xlfn.XLOOKUP(C1940&amp;F1940&amp;I1940&amp;J1940,'[1]2025年已发货'!$F:$F&amp;'[1]2025年已发货'!$C:$C&amp;'[1]2025年已发货'!$G:$G&amp;'[1]2025年已发货'!$H:$H,'[1]2025年已发货'!$E:$E,"未发货")</f>
        <v>35</v>
      </c>
      <c r="I1940" s="120" t="str">
        <f>VLOOKUP(B1940,辅助信息!E:I,3,FALSE)</f>
        <v>（商投建工达州中医药科技园-4工区-7号楼）达州市通川区达州中医药职业学院犀牛大道北段</v>
      </c>
      <c r="J1940" s="120" t="str">
        <f>VLOOKUP(B1940,辅助信息!E:I,4,FALSE)</f>
        <v>张扬</v>
      </c>
      <c r="K1940" s="120">
        <f>VLOOKUP(J1940,辅助信息!H:I,2,FALSE)</f>
        <v>18381904567</v>
      </c>
      <c r="L1940" s="133" t="str">
        <f>VLOOKUP(B1940,辅助信息!E:J,6,FALSE)</f>
        <v>控制炉批号！多了现场不收！,优先安排达钢,提前联系到场规格及数量</v>
      </c>
      <c r="M1940" s="91">
        <v>45831</v>
      </c>
      <c r="O1940" s="62">
        <f ca="1" t="shared" si="123"/>
        <v>0</v>
      </c>
      <c r="P1940" s="62">
        <f ca="1" t="shared" si="124"/>
        <v>129</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0">
        <v>45830</v>
      </c>
      <c r="D1941" s="120" t="str">
        <f>VLOOKUP(B1941,辅助信息!E:K,7,FALSE)</f>
        <v>JWDDCD2024121000136</v>
      </c>
      <c r="E1941" s="120" t="str">
        <f>VLOOKUP(F1941,辅助信息!A:B,2,FALSE)</f>
        <v>螺纹钢</v>
      </c>
      <c r="F1941" s="40" t="s">
        <v>58</v>
      </c>
      <c r="G1941" s="36">
        <v>8</v>
      </c>
      <c r="H1941" s="121">
        <f>_xlfn.XLOOKUP(C1941&amp;F1941&amp;I1941&amp;J1941,'[1]2025年已发货'!$F:$F&amp;'[1]2025年已发货'!$C:$C&amp;'[1]2025年已发货'!$G:$G&amp;'[1]2025年已发货'!$H:$H,'[1]2025年已发货'!$E:$E,"未发货")</f>
        <v>8</v>
      </c>
      <c r="I1941" s="120" t="str">
        <f>VLOOKUP(B1941,辅助信息!E:I,3,FALSE)</f>
        <v>（四川商建-射洪城乡一体化项目）遂宁市射洪市忠新幼儿园北侧约220米新溪小区</v>
      </c>
      <c r="J1941" s="120" t="str">
        <f>VLOOKUP(B1941,辅助信息!E:I,4,FALSE)</f>
        <v>柏子刚</v>
      </c>
      <c r="K1941" s="120">
        <f>VLOOKUP(J1941,辅助信息!H:I,2,FALSE)</f>
        <v>15692885305</v>
      </c>
      <c r="L1941" s="133" t="str">
        <f>VLOOKUP(B1941,辅助信息!E:J,6,FALSE)</f>
        <v>提前联系到场规格及数量</v>
      </c>
      <c r="M1941" s="91">
        <v>45831</v>
      </c>
      <c r="O1941" s="62">
        <f ca="1" t="shared" ref="O1941:O1953" si="125">IF(OR(M1941="",N1941&lt;&gt;""),"",MAX(M1941-TODAY(),0))</f>
        <v>0</v>
      </c>
      <c r="P1941" s="62">
        <f ca="1" t="shared" ref="P1941:P1953" si="126">IF(M1941="","",IF(N1941&lt;&gt;"",MAX(N1941-M1941,0),IF(TODAY()&gt;M1941,TODAY()-M1941,0)))</f>
        <v>129</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0">
        <v>45830</v>
      </c>
      <c r="D1942" s="120" t="str">
        <f>VLOOKUP(B1942,辅助信息!E:K,7,FALSE)</f>
        <v>JWDDCD2024121000136</v>
      </c>
      <c r="E1942" s="120" t="str">
        <f>VLOOKUP(F1942,辅助信息!A:B,2,FALSE)</f>
        <v>螺纹钢</v>
      </c>
      <c r="F1942" s="40" t="s">
        <v>46</v>
      </c>
      <c r="G1942" s="36">
        <v>5</v>
      </c>
      <c r="H1942" s="121">
        <f>_xlfn.XLOOKUP(C1942&amp;F1942&amp;I1942&amp;J1942,'[1]2025年已发货'!$F:$F&amp;'[1]2025年已发货'!$C:$C&amp;'[1]2025年已发货'!$G:$G&amp;'[1]2025年已发货'!$H:$H,'[1]2025年已发货'!$E:$E,"未发货")</f>
        <v>5</v>
      </c>
      <c r="I1942" s="120" t="str">
        <f>VLOOKUP(B1942,辅助信息!E:I,3,FALSE)</f>
        <v>（四川商建-射洪城乡一体化项目）遂宁市射洪市忠新幼儿园北侧约220米新溪小区</v>
      </c>
      <c r="J1942" s="120" t="str">
        <f>VLOOKUP(B1942,辅助信息!E:I,4,FALSE)</f>
        <v>柏子刚</v>
      </c>
      <c r="K1942" s="120">
        <f>VLOOKUP(J1942,辅助信息!H:I,2,FALSE)</f>
        <v>15692885305</v>
      </c>
      <c r="L1942" s="133" t="str">
        <f>VLOOKUP(B1942,辅助信息!E:J,6,FALSE)</f>
        <v>提前联系到场规格及数量</v>
      </c>
      <c r="M1942" s="91">
        <v>45831</v>
      </c>
      <c r="O1942" s="62">
        <f ca="1" t="shared" si="125"/>
        <v>0</v>
      </c>
      <c r="P1942" s="62">
        <f ca="1" t="shared" si="126"/>
        <v>129</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0">
        <v>45830</v>
      </c>
      <c r="D1943" s="120" t="str">
        <f>VLOOKUP(B1943,辅助信息!E:K,7,FALSE)</f>
        <v>JWDDCD2024121000136</v>
      </c>
      <c r="E1943" s="120" t="str">
        <f>VLOOKUP(F1943,辅助信息!A:B,2,FALSE)</f>
        <v>螺纹钢</v>
      </c>
      <c r="F1943" s="40" t="s">
        <v>22</v>
      </c>
      <c r="G1943" s="36">
        <v>22</v>
      </c>
      <c r="H1943" s="121">
        <f>_xlfn.XLOOKUP(C1943&amp;F1943&amp;I1943&amp;J1943,'[1]2025年已发货'!$F:$F&amp;'[1]2025年已发货'!$C:$C&amp;'[1]2025年已发货'!$G:$G&amp;'[1]2025年已发货'!$H:$H,'[1]2025年已发货'!$E:$E,"未发货")</f>
        <v>22</v>
      </c>
      <c r="I1943" s="120" t="str">
        <f>VLOOKUP(B1943,辅助信息!E:I,3,FALSE)</f>
        <v>（四川商建-射洪城乡一体化项目）遂宁市射洪市忠新幼儿园北侧约220米新溪小区</v>
      </c>
      <c r="J1943" s="120" t="str">
        <f>VLOOKUP(B1943,辅助信息!E:I,4,FALSE)</f>
        <v>柏子刚</v>
      </c>
      <c r="K1943" s="120">
        <f>VLOOKUP(J1943,辅助信息!H:I,2,FALSE)</f>
        <v>15692885305</v>
      </c>
      <c r="L1943" s="133" t="str">
        <f>VLOOKUP(B1943,辅助信息!E:J,6,FALSE)</f>
        <v>提前联系到场规格及数量</v>
      </c>
      <c r="M1943" s="91">
        <v>45831</v>
      </c>
      <c r="O1943" s="62">
        <f ca="1" t="shared" si="125"/>
        <v>0</v>
      </c>
      <c r="P1943" s="62">
        <f ca="1" t="shared" si="126"/>
        <v>129</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0">
        <v>45832</v>
      </c>
      <c r="D1944" s="120" t="str">
        <f>VLOOKUP(B1944,辅助信息!E:K,7,FALSE)</f>
        <v>JWDDCD2025062200016</v>
      </c>
      <c r="E1944" s="120" t="str">
        <f>VLOOKUP(F1944,辅助信息!A:B,2,FALSE)</f>
        <v>高线</v>
      </c>
      <c r="F1944" s="40" t="s">
        <v>53</v>
      </c>
      <c r="G1944" s="36">
        <v>2.5</v>
      </c>
      <c r="H1944" s="121" t="str">
        <f>_xlfn.XLOOKUP(C1944&amp;F1944&amp;I1944&amp;J1944,'[1]2025年已发货'!$F:$F&amp;'[1]2025年已发货'!$C:$C&amp;'[1]2025年已发货'!$G:$G&amp;'[1]2025年已发货'!$H:$H,'[1]2025年已发货'!$E:$E,"未发货")</f>
        <v>未发货</v>
      </c>
      <c r="I1944" s="120" t="str">
        <f>VLOOKUP(B1944,辅助信息!E:I,3,FALSE)</f>
        <v>(武汉电气化局成达万高铁强电项目-渠县)四川省达州市渠县渠北镇雷家湾渠县北站旁</v>
      </c>
      <c r="J1944" s="120" t="str">
        <f>VLOOKUP(B1944,辅助信息!E:I,4,FALSE)</f>
        <v>刘频</v>
      </c>
      <c r="K1944" s="120">
        <f>VLOOKUP(J1944,辅助信息!H:I,2,FALSE)</f>
        <v>18779627939</v>
      </c>
      <c r="L1944" s="133" t="str">
        <f>VLOOKUP(B1944,辅助信息!E:J,6,FALSE)</f>
        <v>锈货不收！！下雨天钢筋没盖篷布不收！！，装货前联系收货人核实到场规格,没提前告知进场规格现场不给予接收</v>
      </c>
      <c r="M1944" s="91">
        <v>45831</v>
      </c>
      <c r="O1944" s="62">
        <f ca="1" t="shared" si="125"/>
        <v>0</v>
      </c>
      <c r="P1944" s="62">
        <f ca="1" t="shared" si="126"/>
        <v>129</v>
      </c>
      <c r="Q1944" s="29" t="str">
        <f>VLOOKUP(B1944,辅助信息!E:M,9,FALSE)</f>
        <v>ZTWM-CDGS-XS-2025-0033-中铁武汉电气化局集团有限公司成达万高速铁路强电工程项目</v>
      </c>
    </row>
    <row r="1945" hidden="1" spans="2:17">
      <c r="B1945" s="40" t="s">
        <v>176</v>
      </c>
      <c r="C1945" s="70">
        <v>45832</v>
      </c>
      <c r="D1945" s="120" t="str">
        <f>VLOOKUP(B1945,辅助信息!E:K,7,FALSE)</f>
        <v>JWDDCD2025062200016</v>
      </c>
      <c r="E1945" s="120" t="str">
        <f>VLOOKUP(F1945,辅助信息!A:B,2,FALSE)</f>
        <v>盘螺</v>
      </c>
      <c r="F1945" s="40" t="s">
        <v>40</v>
      </c>
      <c r="G1945" s="36">
        <v>5</v>
      </c>
      <c r="H1945" s="121">
        <f>_xlfn.XLOOKUP(C1945&amp;F1945&amp;I1945&amp;J1945,'[1]2025年已发货'!$F:$F&amp;'[1]2025年已发货'!$C:$C&amp;'[1]2025年已发货'!$G:$G&amp;'[1]2025年已发货'!$H:$H,'[1]2025年已发货'!$E:$E,"未发货")</f>
        <v>5</v>
      </c>
      <c r="I1945" s="120" t="str">
        <f>VLOOKUP(B1945,辅助信息!E:I,3,FALSE)</f>
        <v>(武汉电气化局成达万高铁强电项目-渠县)四川省达州市渠县渠北镇雷家湾渠县北站旁</v>
      </c>
      <c r="J1945" s="120" t="str">
        <f>VLOOKUP(B1945,辅助信息!E:I,4,FALSE)</f>
        <v>刘频</v>
      </c>
      <c r="K1945" s="120">
        <f>VLOOKUP(J1945,辅助信息!H:I,2,FALSE)</f>
        <v>18779627939</v>
      </c>
      <c r="L1945" s="133" t="str">
        <f>VLOOKUP(B1945,辅助信息!E:J,6,FALSE)</f>
        <v>锈货不收！！下雨天钢筋没盖篷布不收！！，装货前联系收货人核实到场规格,没提前告知进场规格现场不给予接收</v>
      </c>
      <c r="M1945" s="91">
        <v>45831</v>
      </c>
      <c r="O1945" s="62">
        <f ca="1" t="shared" si="125"/>
        <v>0</v>
      </c>
      <c r="P1945" s="62">
        <f ca="1" t="shared" si="126"/>
        <v>129</v>
      </c>
      <c r="Q1945" s="29" t="str">
        <f>VLOOKUP(B1945,辅助信息!E:M,9,FALSE)</f>
        <v>ZTWM-CDGS-XS-2025-0033-中铁武汉电气化局集团有限公司成达万高速铁路强电工程项目</v>
      </c>
    </row>
    <row r="1946" hidden="1" spans="2:17">
      <c r="B1946" s="40" t="s">
        <v>176</v>
      </c>
      <c r="C1946" s="70">
        <v>45832</v>
      </c>
      <c r="D1946" s="120" t="str">
        <f>VLOOKUP(B1946,辅助信息!E:K,7,FALSE)</f>
        <v>JWDDCD2025062200016</v>
      </c>
      <c r="E1946" s="120" t="str">
        <f>VLOOKUP(F1946,辅助信息!A:B,2,FALSE)</f>
        <v>盘螺</v>
      </c>
      <c r="F1946" s="40" t="s">
        <v>41</v>
      </c>
      <c r="G1946" s="36">
        <v>5</v>
      </c>
      <c r="H1946" s="121">
        <f>_xlfn.XLOOKUP(C1946&amp;F1946&amp;I1946&amp;J1946,'[1]2025年已发货'!$F:$F&amp;'[1]2025年已发货'!$C:$C&amp;'[1]2025年已发货'!$G:$G&amp;'[1]2025年已发货'!$H:$H,'[1]2025年已发货'!$E:$E,"未发货")</f>
        <v>5</v>
      </c>
      <c r="I1946" s="120" t="str">
        <f>VLOOKUP(B1946,辅助信息!E:I,3,FALSE)</f>
        <v>(武汉电气化局成达万高铁强电项目-渠县)四川省达州市渠县渠北镇雷家湾渠县北站旁</v>
      </c>
      <c r="J1946" s="120" t="str">
        <f>VLOOKUP(B1946,辅助信息!E:I,4,FALSE)</f>
        <v>刘频</v>
      </c>
      <c r="K1946" s="120">
        <f>VLOOKUP(J1946,辅助信息!H:I,2,FALSE)</f>
        <v>18779627939</v>
      </c>
      <c r="L1946" s="133" t="str">
        <f>VLOOKUP(B1946,辅助信息!E:J,6,FALSE)</f>
        <v>锈货不收！！下雨天钢筋没盖篷布不收！！，装货前联系收货人核实到场规格,没提前告知进场规格现场不给予接收</v>
      </c>
      <c r="M1946" s="91">
        <v>45831</v>
      </c>
      <c r="O1946" s="62">
        <f ca="1" t="shared" si="125"/>
        <v>0</v>
      </c>
      <c r="P1946" s="62">
        <f ca="1" t="shared" si="126"/>
        <v>129</v>
      </c>
      <c r="Q1946" s="29" t="str">
        <f>VLOOKUP(B1946,辅助信息!E:M,9,FALSE)</f>
        <v>ZTWM-CDGS-XS-2025-0033-中铁武汉电气化局集团有限公司成达万高速铁路强电工程项目</v>
      </c>
    </row>
    <row r="1947" hidden="1" spans="2:17">
      <c r="B1947" s="40" t="s">
        <v>176</v>
      </c>
      <c r="C1947" s="70">
        <v>45832</v>
      </c>
      <c r="D1947" s="120" t="str">
        <f>VLOOKUP(B1947,辅助信息!E:K,7,FALSE)</f>
        <v>JWDDCD2025062200016</v>
      </c>
      <c r="E1947" s="120" t="str">
        <f>VLOOKUP(F1947,辅助信息!A:B,2,FALSE)</f>
        <v>螺纹钢</v>
      </c>
      <c r="F1947" s="40" t="s">
        <v>111</v>
      </c>
      <c r="G1947" s="36">
        <v>15</v>
      </c>
      <c r="H1947" s="121">
        <f>_xlfn.XLOOKUP(C1947&amp;F1947&amp;I1947&amp;J1947,'[1]2025年已发货'!$F:$F&amp;'[1]2025年已发货'!$C:$C&amp;'[1]2025年已发货'!$G:$G&amp;'[1]2025年已发货'!$H:$H,'[1]2025年已发货'!$E:$E,"未发货")</f>
        <v>10</v>
      </c>
      <c r="I1947" s="120" t="str">
        <f>VLOOKUP(B1947,辅助信息!E:I,3,FALSE)</f>
        <v>(武汉电气化局成达万高铁强电项目-渠县)四川省达州市渠县渠北镇雷家湾渠县北站旁</v>
      </c>
      <c r="J1947" s="120" t="str">
        <f>VLOOKUP(B1947,辅助信息!E:I,4,FALSE)</f>
        <v>刘频</v>
      </c>
      <c r="K1947" s="120">
        <f>VLOOKUP(J1947,辅助信息!H:I,2,FALSE)</f>
        <v>18779627939</v>
      </c>
      <c r="L1947" s="133" t="str">
        <f>VLOOKUP(B1947,辅助信息!E:J,6,FALSE)</f>
        <v>锈货不收！！下雨天钢筋没盖篷布不收！！，装货前联系收货人核实到场规格,没提前告知进场规格现场不给予接收</v>
      </c>
      <c r="M1947" s="91">
        <v>45831</v>
      </c>
      <c r="O1947" s="62">
        <f ca="1" t="shared" si="125"/>
        <v>0</v>
      </c>
      <c r="P1947" s="62">
        <f ca="1" t="shared" si="126"/>
        <v>129</v>
      </c>
      <c r="Q1947" s="29" t="str">
        <f>VLOOKUP(B1947,辅助信息!E:M,9,FALSE)</f>
        <v>ZTWM-CDGS-XS-2025-0033-中铁武汉电气化局集团有限公司成达万高速铁路强电工程项目</v>
      </c>
    </row>
    <row r="1948" hidden="1" spans="2:17">
      <c r="B1948" s="40" t="s">
        <v>176</v>
      </c>
      <c r="C1948" s="70">
        <v>45832</v>
      </c>
      <c r="D1948" s="120" t="str">
        <f>VLOOKUP(B1948,辅助信息!E:K,7,FALSE)</f>
        <v>JWDDCD2025062200016</v>
      </c>
      <c r="E1948" s="120" t="str">
        <f>VLOOKUP(F1948,辅助信息!A:B,2,FALSE)</f>
        <v>螺纹钢</v>
      </c>
      <c r="F1948" s="40" t="s">
        <v>76</v>
      </c>
      <c r="G1948" s="36">
        <f>3*8</f>
        <v>24</v>
      </c>
      <c r="H1948" s="121">
        <f>_xlfn.XLOOKUP(C1948&amp;F1948&amp;I1948&amp;J1948,'[1]2025年已发货'!$F:$F&amp;'[1]2025年已发货'!$C:$C&amp;'[1]2025年已发货'!$G:$G&amp;'[1]2025年已发货'!$H:$H,'[1]2025年已发货'!$E:$E,"未发货")</f>
        <v>5</v>
      </c>
      <c r="I1948" s="120" t="str">
        <f>VLOOKUP(B1948,辅助信息!E:I,3,FALSE)</f>
        <v>(武汉电气化局成达万高铁强电项目-渠县)四川省达州市渠县渠北镇雷家湾渠县北站旁</v>
      </c>
      <c r="J1948" s="120" t="str">
        <f>VLOOKUP(B1948,辅助信息!E:I,4,FALSE)</f>
        <v>刘频</v>
      </c>
      <c r="K1948" s="120">
        <f>VLOOKUP(J1948,辅助信息!H:I,2,FALSE)</f>
        <v>18779627939</v>
      </c>
      <c r="L1948" s="133" t="str">
        <f>VLOOKUP(B1948,辅助信息!E:J,6,FALSE)</f>
        <v>锈货不收！！下雨天钢筋没盖篷布不收！！，装货前联系收货人核实到场规格,没提前告知进场规格现场不给予接收</v>
      </c>
      <c r="M1948" s="91">
        <v>45831</v>
      </c>
      <c r="O1948" s="62">
        <f ca="1" t="shared" si="125"/>
        <v>0</v>
      </c>
      <c r="P1948" s="62">
        <f ca="1" t="shared" si="126"/>
        <v>129</v>
      </c>
      <c r="Q1948" s="29" t="str">
        <f>VLOOKUP(B1948,辅助信息!E:M,9,FALSE)</f>
        <v>ZTWM-CDGS-XS-2025-0033-中铁武汉电气化局集团有限公司成达万高速铁路强电工程项目</v>
      </c>
    </row>
    <row r="1949" hidden="1" spans="2:17">
      <c r="B1949" s="40" t="s">
        <v>176</v>
      </c>
      <c r="C1949" s="70">
        <v>45832</v>
      </c>
      <c r="D1949" s="120" t="str">
        <f>VLOOKUP(B1949,辅助信息!E:K,7,FALSE)</f>
        <v>JWDDCD2025062200016</v>
      </c>
      <c r="E1949" s="120" t="str">
        <f>VLOOKUP(F1949,辅助信息!A:B,2,FALSE)</f>
        <v>螺纹钢</v>
      </c>
      <c r="F1949" s="40" t="s">
        <v>90</v>
      </c>
      <c r="G1949" s="36">
        <v>15</v>
      </c>
      <c r="H1949" s="121">
        <f>_xlfn.XLOOKUP(C1949&amp;F1949&amp;I1949&amp;J1949,'[1]2025年已发货'!$F:$F&amp;'[1]2025年已发货'!$C:$C&amp;'[1]2025年已发货'!$G:$G&amp;'[1]2025年已发货'!$H:$H,'[1]2025年已发货'!$E:$E,"未发货")</f>
        <v>15</v>
      </c>
      <c r="I1949" s="120" t="str">
        <f>VLOOKUP(B1949,辅助信息!E:I,3,FALSE)</f>
        <v>(武汉电气化局成达万高铁强电项目-渠县)四川省达州市渠县渠北镇雷家湾渠县北站旁</v>
      </c>
      <c r="J1949" s="120" t="str">
        <f>VLOOKUP(B1949,辅助信息!E:I,4,FALSE)</f>
        <v>刘频</v>
      </c>
      <c r="K1949" s="120">
        <f>VLOOKUP(J1949,辅助信息!H:I,2,FALSE)</f>
        <v>18779627939</v>
      </c>
      <c r="L1949" s="133" t="str">
        <f>VLOOKUP(B1949,辅助信息!E:J,6,FALSE)</f>
        <v>锈货不收！！下雨天钢筋没盖篷布不收！！，装货前联系收货人核实到场规格,没提前告知进场规格现场不给予接收</v>
      </c>
      <c r="M1949" s="91">
        <v>45831</v>
      </c>
      <c r="O1949" s="62">
        <f ca="1" t="shared" si="125"/>
        <v>0</v>
      </c>
      <c r="P1949" s="62">
        <f ca="1" t="shared" si="126"/>
        <v>129</v>
      </c>
      <c r="Q1949" s="29" t="str">
        <f>VLOOKUP(B1949,辅助信息!E:M,9,FALSE)</f>
        <v>ZTWM-CDGS-XS-2025-0033-中铁武汉电气化局集团有限公司成达万高速铁路强电工程项目</v>
      </c>
    </row>
    <row r="1950" hidden="1" spans="2:17">
      <c r="B1950" s="40" t="s">
        <v>176</v>
      </c>
      <c r="C1950" s="70">
        <v>45832</v>
      </c>
      <c r="D1950" s="120" t="str">
        <f>VLOOKUP(B1950,辅助信息!E:K,7,FALSE)</f>
        <v>JWDDCD2025062200016</v>
      </c>
      <c r="E1950" s="120" t="str">
        <f>VLOOKUP(F1950,辅助信息!A:B,2,FALSE)</f>
        <v>螺纹钢</v>
      </c>
      <c r="F1950" s="40" t="s">
        <v>130</v>
      </c>
      <c r="G1950" s="36">
        <f>3*8</f>
        <v>24</v>
      </c>
      <c r="H1950" s="121">
        <f>_xlfn.XLOOKUP(C1950&amp;F1950&amp;I1950&amp;J1950,'[1]2025年已发货'!$F:$F&amp;'[1]2025年已发货'!$C:$C&amp;'[1]2025年已发货'!$G:$G&amp;'[1]2025年已发货'!$H:$H,'[1]2025年已发货'!$E:$E,"未发货")</f>
        <v>25</v>
      </c>
      <c r="I1950" s="120" t="str">
        <f>VLOOKUP(B1950,辅助信息!E:I,3,FALSE)</f>
        <v>(武汉电气化局成达万高铁强电项目-渠县)四川省达州市渠县渠北镇雷家湾渠县北站旁</v>
      </c>
      <c r="J1950" s="120" t="str">
        <f>VLOOKUP(B1950,辅助信息!E:I,4,FALSE)</f>
        <v>刘频</v>
      </c>
      <c r="K1950" s="120">
        <f>VLOOKUP(J1950,辅助信息!H:I,2,FALSE)</f>
        <v>18779627939</v>
      </c>
      <c r="L1950" s="133" t="str">
        <f>VLOOKUP(B1950,辅助信息!E:J,6,FALSE)</f>
        <v>锈货不收！！下雨天钢筋没盖篷布不收！！，装货前联系收货人核实到场规格,没提前告知进场规格现场不给予接收</v>
      </c>
      <c r="M1950" s="91">
        <v>45831</v>
      </c>
      <c r="O1950" s="62">
        <f ca="1" t="shared" si="125"/>
        <v>0</v>
      </c>
      <c r="P1950" s="62">
        <f ca="1" t="shared" si="126"/>
        <v>129</v>
      </c>
      <c r="Q1950" s="29" t="str">
        <f>VLOOKUP(B1950,辅助信息!E:M,9,FALSE)</f>
        <v>ZTWM-CDGS-XS-2025-0033-中铁武汉电气化局集团有限公司成达万高速铁路强电工程项目</v>
      </c>
    </row>
    <row r="1951" hidden="1" spans="2:17">
      <c r="B1951" s="40" t="s">
        <v>176</v>
      </c>
      <c r="C1951" s="70">
        <v>45832</v>
      </c>
      <c r="D1951" s="120" t="str">
        <f>VLOOKUP(B1951,辅助信息!E:K,7,FALSE)</f>
        <v>JWDDCD2025062200016</v>
      </c>
      <c r="E1951" s="120" t="str">
        <f>VLOOKUP(F1951,辅助信息!A:B,2,FALSE)</f>
        <v>螺纹钢</v>
      </c>
      <c r="F1951" s="40" t="s">
        <v>138</v>
      </c>
      <c r="G1951" s="36">
        <v>12</v>
      </c>
      <c r="H1951" s="121">
        <f>_xlfn.XLOOKUP(C1951&amp;F1951&amp;I1951&amp;J1951,'[1]2025年已发货'!$F:$F&amp;'[1]2025年已发货'!$C:$C&amp;'[1]2025年已发货'!$G:$G&amp;'[1]2025年已发货'!$H:$H,'[1]2025年已发货'!$E:$E,"未发货")</f>
        <v>12.5</v>
      </c>
      <c r="I1951" s="120" t="str">
        <f>VLOOKUP(B1951,辅助信息!E:I,3,FALSE)</f>
        <v>(武汉电气化局成达万高铁强电项目-渠县)四川省达州市渠县渠北镇雷家湾渠县北站旁</v>
      </c>
      <c r="J1951" s="120" t="str">
        <f>VLOOKUP(B1951,辅助信息!E:I,4,FALSE)</f>
        <v>刘频</v>
      </c>
      <c r="K1951" s="120">
        <f>VLOOKUP(J1951,辅助信息!H:I,2,FALSE)</f>
        <v>18779627939</v>
      </c>
      <c r="L1951" s="133" t="str">
        <f>VLOOKUP(B1951,辅助信息!E:J,6,FALSE)</f>
        <v>锈货不收！！下雨天钢筋没盖篷布不收！！，装货前联系收货人核实到场规格,没提前告知进场规格现场不给予接收</v>
      </c>
      <c r="M1951" s="91">
        <v>45831</v>
      </c>
      <c r="O1951" s="62">
        <f ca="1" t="shared" ref="O1951:O1968" si="127">IF(OR(M1951="",N1951&lt;&gt;""),"",MAX(M1951-TODAY(),0))</f>
        <v>0</v>
      </c>
      <c r="P1951" s="62">
        <f ca="1" t="shared" ref="P1951:P1968" si="128">IF(M1951="","",IF(N1951&lt;&gt;"",MAX(N1951-M1951,0),IF(TODAY()&gt;M1951,TODAY()-M1951,0)))</f>
        <v>129</v>
      </c>
      <c r="Q1951" s="29" t="str">
        <f>VLOOKUP(B1951,辅助信息!E:M,9,FALSE)</f>
        <v>ZTWM-CDGS-XS-2025-0033-中铁武汉电气化局集团有限公司成达万高速铁路强电工程项目</v>
      </c>
    </row>
    <row r="1952" hidden="1" spans="2:17">
      <c r="B1952" s="40" t="s">
        <v>176</v>
      </c>
      <c r="C1952" s="70">
        <v>45832</v>
      </c>
      <c r="D1952" s="120" t="str">
        <f>VLOOKUP(B1952,辅助信息!E:K,7,FALSE)</f>
        <v>JWDDCD2025062200016</v>
      </c>
      <c r="E1952" s="120" t="str">
        <f>VLOOKUP(F1952,辅助信息!A:B,2,FALSE)</f>
        <v>螺纹钢</v>
      </c>
      <c r="F1952" s="40" t="s">
        <v>133</v>
      </c>
      <c r="G1952" s="36">
        <v>3</v>
      </c>
      <c r="H1952" s="121">
        <f>_xlfn.XLOOKUP(C1952&amp;F1952&amp;I1952&amp;J1952,'[1]2025年已发货'!$F:$F&amp;'[1]2025年已发货'!$C:$C&amp;'[1]2025年已发货'!$G:$G&amp;'[1]2025年已发货'!$H:$H,'[1]2025年已发货'!$E:$E,"未发货")</f>
        <v>2.5</v>
      </c>
      <c r="I1952" s="120" t="str">
        <f>VLOOKUP(B1952,辅助信息!E:I,3,FALSE)</f>
        <v>(武汉电气化局成达万高铁强电项目-渠县)四川省达州市渠县渠北镇雷家湾渠县北站旁</v>
      </c>
      <c r="J1952" s="120" t="str">
        <f>VLOOKUP(B1952,辅助信息!E:I,4,FALSE)</f>
        <v>刘频</v>
      </c>
      <c r="K1952" s="120">
        <f>VLOOKUP(J1952,辅助信息!H:I,2,FALSE)</f>
        <v>18779627939</v>
      </c>
      <c r="L1952" s="133" t="str">
        <f>VLOOKUP(B1952,辅助信息!E:J,6,FALSE)</f>
        <v>锈货不收！！下雨天钢筋没盖篷布不收！！，装货前联系收货人核实到场规格,没提前告知进场规格现场不给予接收</v>
      </c>
      <c r="M1952" s="91">
        <v>45831</v>
      </c>
      <c r="O1952" s="62">
        <f ca="1" t="shared" si="127"/>
        <v>0</v>
      </c>
      <c r="P1952" s="62">
        <f ca="1" t="shared" si="128"/>
        <v>129</v>
      </c>
      <c r="Q1952" s="29" t="str">
        <f>VLOOKUP(B1952,辅助信息!E:M,9,FALSE)</f>
        <v>ZTWM-CDGS-XS-2025-0033-中铁武汉电气化局集团有限公司成达万高速铁路强电工程项目</v>
      </c>
    </row>
    <row r="1953" hidden="1" spans="2:17">
      <c r="B1953" s="40" t="s">
        <v>176</v>
      </c>
      <c r="C1953" s="70">
        <v>45832</v>
      </c>
      <c r="D1953" s="120" t="str">
        <f>VLOOKUP(B1953,辅助信息!E:K,7,FALSE)</f>
        <v>JWDDCD2025062200016</v>
      </c>
      <c r="E1953" s="120" t="str">
        <f>VLOOKUP(F1953,辅助信息!A:B,2,FALSE)</f>
        <v>螺纹钢</v>
      </c>
      <c r="F1953" s="40" t="s">
        <v>91</v>
      </c>
      <c r="G1953" s="36">
        <v>18</v>
      </c>
      <c r="H1953" s="121">
        <f>_xlfn.XLOOKUP(C1953&amp;F1953&amp;I1953&amp;J1953,'[1]2025年已发货'!$F:$F&amp;'[1]2025年已发货'!$C:$C&amp;'[1]2025年已发货'!$G:$G&amp;'[1]2025年已发货'!$H:$H,'[1]2025年已发货'!$E:$E,"未发货")</f>
        <v>17.5</v>
      </c>
      <c r="I1953" s="120" t="str">
        <f>VLOOKUP(B1953,辅助信息!E:I,3,FALSE)</f>
        <v>(武汉电气化局成达万高铁强电项目-渠县)四川省达州市渠县渠北镇雷家湾渠县北站旁</v>
      </c>
      <c r="J1953" s="120" t="str">
        <f>VLOOKUP(B1953,辅助信息!E:I,4,FALSE)</f>
        <v>刘频</v>
      </c>
      <c r="K1953" s="120">
        <f>VLOOKUP(J1953,辅助信息!H:I,2,FALSE)</f>
        <v>18779627939</v>
      </c>
      <c r="L1953" s="133" t="str">
        <f>VLOOKUP(B1953,辅助信息!E:J,6,FALSE)</f>
        <v>锈货不收！！下雨天钢筋没盖篷布不收！！，装货前联系收货人核实到场规格,没提前告知进场规格现场不给予接收</v>
      </c>
      <c r="M1953" s="91">
        <v>45831</v>
      </c>
      <c r="O1953" s="62">
        <f ca="1" t="shared" si="127"/>
        <v>0</v>
      </c>
      <c r="P1953" s="62">
        <f ca="1" t="shared" si="128"/>
        <v>129</v>
      </c>
      <c r="Q1953" s="29" t="str">
        <f>VLOOKUP(B1953,辅助信息!E:M,9,FALSE)</f>
        <v>ZTWM-CDGS-XS-2025-0033-中铁武汉电气化局集团有限公司成达万高速铁路强电工程项目</v>
      </c>
    </row>
    <row r="1954" hidden="1" spans="2:17">
      <c r="B1954" s="40" t="s">
        <v>177</v>
      </c>
      <c r="C1954" s="70">
        <v>45832</v>
      </c>
      <c r="D1954" s="120" t="str">
        <f>VLOOKUP(B1954,辅助信息!E:K,7,FALSE)</f>
        <v>JWDDCD2025062200016</v>
      </c>
      <c r="E1954" s="120" t="str">
        <f>VLOOKUP(F1954,辅助信息!A:B,2,FALSE)</f>
        <v>高线</v>
      </c>
      <c r="F1954" s="40" t="s">
        <v>57</v>
      </c>
      <c r="G1954" s="36">
        <v>2.5</v>
      </c>
      <c r="H1954" s="121">
        <f>_xlfn.XLOOKUP(C1954&amp;F1954&amp;I1954&amp;J1954,'[1]2025年已发货'!$F:$F&amp;'[1]2025年已发货'!$C:$C&amp;'[1]2025年已发货'!$G:$G&amp;'[1]2025年已发货'!$H:$H,'[1]2025年已发货'!$E:$E,"未发货")</f>
        <v>2.5</v>
      </c>
      <c r="I1954" s="120" t="str">
        <f>VLOOKUP(B1954,辅助信息!E:I,3,FALSE)</f>
        <v>(武汉电气化局成达万高铁强电项目-南充营山)四川省南充市营山县保真路景阳名城南50米(保真路东)</v>
      </c>
      <c r="J1954" s="120" t="str">
        <f>VLOOKUP(B1954,辅助信息!E:I,4,FALSE)</f>
        <v>周开亮</v>
      </c>
      <c r="K1954" s="120">
        <f>VLOOKUP(J1954,辅助信息!H:I,2,FALSE)</f>
        <v>18381485052</v>
      </c>
      <c r="L1954" s="133" t="str">
        <f>VLOOKUP(B1954,辅助信息!E:J,6,FALSE)</f>
        <v>锈货不收！！下雨天钢筋没盖篷布不收！！，装货前联系收货人核实到场规格,没提前告知进场规格现场不给予接收</v>
      </c>
      <c r="M1954" s="91">
        <v>45831</v>
      </c>
      <c r="O1954" s="62">
        <f ca="1" t="shared" si="127"/>
        <v>0</v>
      </c>
      <c r="P1954" s="62">
        <f ca="1" t="shared" si="128"/>
        <v>129</v>
      </c>
      <c r="Q1954" s="29" t="str">
        <f>VLOOKUP(B1954,辅助信息!E:M,9,FALSE)</f>
        <v>ZTWM-CDGS-XS-2025-0033-中铁武汉电气化局集团有限公司成达万高速铁路强电工程项目</v>
      </c>
    </row>
    <row r="1955" hidden="1" spans="2:17">
      <c r="B1955" s="40" t="s">
        <v>177</v>
      </c>
      <c r="C1955" s="70">
        <v>45832</v>
      </c>
      <c r="D1955" s="120" t="str">
        <f>VLOOKUP(B1955,辅助信息!E:K,7,FALSE)</f>
        <v>JWDDCD2025062200016</v>
      </c>
      <c r="E1955" s="120" t="str">
        <f>VLOOKUP(F1955,辅助信息!A:B,2,FALSE)</f>
        <v>盘螺</v>
      </c>
      <c r="F1955" s="40" t="s">
        <v>40</v>
      </c>
      <c r="G1955" s="36">
        <v>5</v>
      </c>
      <c r="H1955" s="121">
        <f>_xlfn.XLOOKUP(C1955&amp;F1955&amp;I1955&amp;J1955,'[1]2025年已发货'!$F:$F&amp;'[1]2025年已发货'!$C:$C&amp;'[1]2025年已发货'!$G:$G&amp;'[1]2025年已发货'!$H:$H,'[1]2025年已发货'!$E:$E,"未发货")</f>
        <v>5</v>
      </c>
      <c r="I1955" s="120" t="str">
        <f>VLOOKUP(B1955,辅助信息!E:I,3,FALSE)</f>
        <v>(武汉电气化局成达万高铁强电项目-南充营山)四川省南充市营山县保真路景阳名城南50米(保真路东)</v>
      </c>
      <c r="J1955" s="120" t="str">
        <f>VLOOKUP(B1955,辅助信息!E:I,4,FALSE)</f>
        <v>周开亮</v>
      </c>
      <c r="K1955" s="120">
        <f>VLOOKUP(J1955,辅助信息!H:I,2,FALSE)</f>
        <v>18381485052</v>
      </c>
      <c r="L1955" s="133" t="str">
        <f>VLOOKUP(B1955,辅助信息!E:J,6,FALSE)</f>
        <v>锈货不收！！下雨天钢筋没盖篷布不收！！，装货前联系收货人核实到场规格,没提前告知进场规格现场不给予接收</v>
      </c>
      <c r="M1955" s="91">
        <v>45831</v>
      </c>
      <c r="O1955" s="62">
        <f ca="1" t="shared" si="127"/>
        <v>0</v>
      </c>
      <c r="P1955" s="62">
        <f ca="1" t="shared" si="128"/>
        <v>129</v>
      </c>
      <c r="Q1955" s="29" t="str">
        <f>VLOOKUP(B1955,辅助信息!E:M,9,FALSE)</f>
        <v>ZTWM-CDGS-XS-2025-0033-中铁武汉电气化局集团有限公司成达万高速铁路强电工程项目</v>
      </c>
    </row>
    <row r="1956" hidden="1" spans="2:17">
      <c r="B1956" s="40" t="s">
        <v>177</v>
      </c>
      <c r="C1956" s="70">
        <v>45832</v>
      </c>
      <c r="D1956" s="120" t="str">
        <f>VLOOKUP(B1956,辅助信息!E:K,7,FALSE)</f>
        <v>JWDDCD2025062200016</v>
      </c>
      <c r="E1956" s="120" t="str">
        <f>VLOOKUP(F1956,辅助信息!A:B,2,FALSE)</f>
        <v>盘螺</v>
      </c>
      <c r="F1956" s="40" t="s">
        <v>41</v>
      </c>
      <c r="G1956" s="36">
        <v>5</v>
      </c>
      <c r="H1956" s="121">
        <f>_xlfn.XLOOKUP(C1956&amp;F1956&amp;I1956&amp;J1956,'[1]2025年已发货'!$F:$F&amp;'[1]2025年已发货'!$C:$C&amp;'[1]2025年已发货'!$G:$G&amp;'[1]2025年已发货'!$H:$H,'[1]2025年已发货'!$E:$E,"未发货")</f>
        <v>5</v>
      </c>
      <c r="I1956" s="120" t="str">
        <f>VLOOKUP(B1956,辅助信息!E:I,3,FALSE)</f>
        <v>(武汉电气化局成达万高铁强电项目-南充营山)四川省南充市营山县保真路景阳名城南50米(保真路东)</v>
      </c>
      <c r="J1956" s="120" t="str">
        <f>VLOOKUP(B1956,辅助信息!E:I,4,FALSE)</f>
        <v>周开亮</v>
      </c>
      <c r="K1956" s="120">
        <f>VLOOKUP(J1956,辅助信息!H:I,2,FALSE)</f>
        <v>18381485052</v>
      </c>
      <c r="L1956" s="133" t="str">
        <f>VLOOKUP(B1956,辅助信息!E:J,6,FALSE)</f>
        <v>锈货不收！！下雨天钢筋没盖篷布不收！！，装货前联系收货人核实到场规格,没提前告知进场规格现场不给予接收</v>
      </c>
      <c r="M1956" s="91">
        <v>45831</v>
      </c>
      <c r="O1956" s="62">
        <f ca="1" t="shared" si="127"/>
        <v>0</v>
      </c>
      <c r="P1956" s="62">
        <f ca="1" t="shared" si="128"/>
        <v>129</v>
      </c>
      <c r="Q1956" s="29" t="str">
        <f>VLOOKUP(B1956,辅助信息!E:M,9,FALSE)</f>
        <v>ZTWM-CDGS-XS-2025-0033-中铁武汉电气化局集团有限公司成达万高速铁路强电工程项目</v>
      </c>
    </row>
    <row r="1957" hidden="1" spans="2:17">
      <c r="B1957" s="40" t="s">
        <v>177</v>
      </c>
      <c r="C1957" s="70">
        <v>45832</v>
      </c>
      <c r="D1957" s="120" t="str">
        <f>VLOOKUP(B1957,辅助信息!E:K,7,FALSE)</f>
        <v>JWDDCD2025062200016</v>
      </c>
      <c r="E1957" s="120" t="str">
        <f>VLOOKUP(F1957,辅助信息!A:B,2,FALSE)</f>
        <v>螺纹钢</v>
      </c>
      <c r="F1957" s="40" t="s">
        <v>27</v>
      </c>
      <c r="G1957" s="36">
        <v>3</v>
      </c>
      <c r="H1957" s="121">
        <f>_xlfn.XLOOKUP(C1957&amp;F1957&amp;I1957&amp;J1957,'[1]2025年已发货'!$F:$F&amp;'[1]2025年已发货'!$C:$C&amp;'[1]2025年已发货'!$G:$G&amp;'[1]2025年已发货'!$H:$H,'[1]2025年已发货'!$E:$E,"未发货")</f>
        <v>3</v>
      </c>
      <c r="I1957" s="120" t="str">
        <f>VLOOKUP(B1957,辅助信息!E:I,3,FALSE)</f>
        <v>(武汉电气化局成达万高铁强电项目-南充营山)四川省南充市营山县保真路景阳名城南50米(保真路东)</v>
      </c>
      <c r="J1957" s="120" t="str">
        <f>VLOOKUP(B1957,辅助信息!E:I,4,FALSE)</f>
        <v>周开亮</v>
      </c>
      <c r="K1957" s="120">
        <f>VLOOKUP(J1957,辅助信息!H:I,2,FALSE)</f>
        <v>18381485052</v>
      </c>
      <c r="L1957" s="133" t="str">
        <f>VLOOKUP(B1957,辅助信息!E:J,6,FALSE)</f>
        <v>锈货不收！！下雨天钢筋没盖篷布不收！！，装货前联系收货人核实到场规格,没提前告知进场规格现场不给予接收</v>
      </c>
      <c r="M1957" s="91">
        <v>45831</v>
      </c>
      <c r="O1957" s="62">
        <f ca="1" t="shared" si="127"/>
        <v>0</v>
      </c>
      <c r="P1957" s="62">
        <f ca="1" t="shared" si="128"/>
        <v>129</v>
      </c>
      <c r="Q1957" s="29" t="str">
        <f>VLOOKUP(B1957,辅助信息!E:M,9,FALSE)</f>
        <v>ZTWM-CDGS-XS-2025-0033-中铁武汉电气化局集团有限公司成达万高速铁路强电工程项目</v>
      </c>
    </row>
    <row r="1958" hidden="1" spans="2:17">
      <c r="B1958" s="40" t="s">
        <v>177</v>
      </c>
      <c r="C1958" s="70">
        <v>45832</v>
      </c>
      <c r="D1958" s="120" t="str">
        <f>VLOOKUP(B1958,辅助信息!E:K,7,FALSE)</f>
        <v>JWDDCD2025062200016</v>
      </c>
      <c r="E1958" s="120" t="str">
        <f>VLOOKUP(F1958,辅助信息!A:B,2,FALSE)</f>
        <v>螺纹钢</v>
      </c>
      <c r="F1958" s="40" t="s">
        <v>19</v>
      </c>
      <c r="G1958" s="36">
        <v>12</v>
      </c>
      <c r="H1958" s="121">
        <f>_xlfn.XLOOKUP(C1958&amp;F1958&amp;I1958&amp;J1958,'[1]2025年已发货'!$F:$F&amp;'[1]2025年已发货'!$C:$C&amp;'[1]2025年已发货'!$G:$G&amp;'[1]2025年已发货'!$H:$H,'[1]2025年已发货'!$E:$E,"未发货")</f>
        <v>12</v>
      </c>
      <c r="I1958" s="120" t="str">
        <f>VLOOKUP(B1958,辅助信息!E:I,3,FALSE)</f>
        <v>(武汉电气化局成达万高铁强电项目-南充营山)四川省南充市营山县保真路景阳名城南50米(保真路东)</v>
      </c>
      <c r="J1958" s="120" t="str">
        <f>VLOOKUP(B1958,辅助信息!E:I,4,FALSE)</f>
        <v>周开亮</v>
      </c>
      <c r="K1958" s="120">
        <f>VLOOKUP(J1958,辅助信息!H:I,2,FALSE)</f>
        <v>18381485052</v>
      </c>
      <c r="L1958" s="133" t="str">
        <f>VLOOKUP(B1958,辅助信息!E:J,6,FALSE)</f>
        <v>锈货不收！！下雨天钢筋没盖篷布不收！！，装货前联系收货人核实到场规格,没提前告知进场规格现场不给予接收</v>
      </c>
      <c r="M1958" s="91">
        <v>45831</v>
      </c>
      <c r="O1958" s="62">
        <f ca="1" t="shared" si="127"/>
        <v>0</v>
      </c>
      <c r="P1958" s="62">
        <f ca="1" t="shared" si="128"/>
        <v>129</v>
      </c>
      <c r="Q1958" s="29" t="str">
        <f>VLOOKUP(B1958,辅助信息!E:M,9,FALSE)</f>
        <v>ZTWM-CDGS-XS-2025-0033-中铁武汉电气化局集团有限公司成达万高速铁路强电工程项目</v>
      </c>
    </row>
    <row r="1959" hidden="1" spans="2:17">
      <c r="B1959" s="40" t="s">
        <v>177</v>
      </c>
      <c r="C1959" s="70">
        <v>45832</v>
      </c>
      <c r="D1959" s="120" t="str">
        <f>VLOOKUP(B1959,辅助信息!E:K,7,FALSE)</f>
        <v>JWDDCD2025062200016</v>
      </c>
      <c r="E1959" s="120" t="str">
        <f>VLOOKUP(F1959,辅助信息!A:B,2,FALSE)</f>
        <v>螺纹钢</v>
      </c>
      <c r="F1959" s="40" t="s">
        <v>32</v>
      </c>
      <c r="G1959" s="36">
        <v>15</v>
      </c>
      <c r="H1959" s="121">
        <f>_xlfn.XLOOKUP(C1959&amp;F1959&amp;I1959&amp;J1959,'[1]2025年已发货'!$F:$F&amp;'[1]2025年已发货'!$C:$C&amp;'[1]2025年已发货'!$G:$G&amp;'[1]2025年已发货'!$H:$H,'[1]2025年已发货'!$E:$E,"未发货")</f>
        <v>15</v>
      </c>
      <c r="I1959" s="120" t="str">
        <f>VLOOKUP(B1959,辅助信息!E:I,3,FALSE)</f>
        <v>(武汉电气化局成达万高铁强电项目-南充营山)四川省南充市营山县保真路景阳名城南50米(保真路东)</v>
      </c>
      <c r="J1959" s="120" t="str">
        <f>VLOOKUP(B1959,辅助信息!E:I,4,FALSE)</f>
        <v>周开亮</v>
      </c>
      <c r="K1959" s="120">
        <f>VLOOKUP(J1959,辅助信息!H:I,2,FALSE)</f>
        <v>18381485052</v>
      </c>
      <c r="L1959" s="133" t="str">
        <f>VLOOKUP(B1959,辅助信息!E:J,6,FALSE)</f>
        <v>锈货不收！！下雨天钢筋没盖篷布不收！！，装货前联系收货人核实到场规格,没提前告知进场规格现场不给予接收</v>
      </c>
      <c r="M1959" s="91">
        <v>45831</v>
      </c>
      <c r="O1959" s="62">
        <f ca="1" t="shared" si="127"/>
        <v>0</v>
      </c>
      <c r="P1959" s="62">
        <f ca="1" t="shared" si="128"/>
        <v>129</v>
      </c>
      <c r="Q1959" s="29" t="str">
        <f>VLOOKUP(B1959,辅助信息!E:M,9,FALSE)</f>
        <v>ZTWM-CDGS-XS-2025-0033-中铁武汉电气化局集团有限公司成达万高速铁路强电工程项目</v>
      </c>
    </row>
    <row r="1960" hidden="1" spans="2:17">
      <c r="B1960" s="40" t="s">
        <v>177</v>
      </c>
      <c r="C1960" s="70">
        <v>45832</v>
      </c>
      <c r="D1960" s="120" t="str">
        <f>VLOOKUP(B1960,辅助信息!E:K,7,FALSE)</f>
        <v>JWDDCD2025062200016</v>
      </c>
      <c r="E1960" s="120" t="str">
        <f>VLOOKUP(F1960,辅助信息!A:B,2,FALSE)</f>
        <v>螺纹钢</v>
      </c>
      <c r="F1960" s="40" t="s">
        <v>33</v>
      </c>
      <c r="G1960" s="36">
        <v>9</v>
      </c>
      <c r="H1960" s="121">
        <f>_xlfn.XLOOKUP(C1960&amp;F1960&amp;I1960&amp;J1960,'[1]2025年已发货'!$F:$F&amp;'[1]2025年已发货'!$C:$C&amp;'[1]2025年已发货'!$G:$G&amp;'[1]2025年已发货'!$H:$H,'[1]2025年已发货'!$E:$E,"未发货")</f>
        <v>9</v>
      </c>
      <c r="I1960" s="120" t="str">
        <f>VLOOKUP(B1960,辅助信息!E:I,3,FALSE)</f>
        <v>(武汉电气化局成达万高铁强电项目-南充营山)四川省南充市营山县保真路景阳名城南50米(保真路东)</v>
      </c>
      <c r="J1960" s="120" t="str">
        <f>VLOOKUP(B1960,辅助信息!E:I,4,FALSE)</f>
        <v>周开亮</v>
      </c>
      <c r="K1960" s="120">
        <f>VLOOKUP(J1960,辅助信息!H:I,2,FALSE)</f>
        <v>18381485052</v>
      </c>
      <c r="L1960" s="133" t="str">
        <f>VLOOKUP(B1960,辅助信息!E:J,6,FALSE)</f>
        <v>锈货不收！！下雨天钢筋没盖篷布不收！！，装货前联系收货人核实到场规格,没提前告知进场规格现场不给予接收</v>
      </c>
      <c r="M1960" s="91">
        <v>45831</v>
      </c>
      <c r="O1960" s="62">
        <f ca="1" t="shared" si="127"/>
        <v>0</v>
      </c>
      <c r="P1960" s="62">
        <f ca="1" t="shared" si="128"/>
        <v>129</v>
      </c>
      <c r="Q1960" s="29" t="str">
        <f>VLOOKUP(B1960,辅助信息!E:M,9,FALSE)</f>
        <v>ZTWM-CDGS-XS-2025-0033-中铁武汉电气化局集团有限公司成达万高速铁路强电工程项目</v>
      </c>
    </row>
    <row r="1961" hidden="1" spans="2:17">
      <c r="B1961" s="40" t="s">
        <v>177</v>
      </c>
      <c r="C1961" s="70">
        <v>45832</v>
      </c>
      <c r="D1961" s="120" t="str">
        <f>VLOOKUP(B1961,辅助信息!E:K,7,FALSE)</f>
        <v>JWDDCD2025062200016</v>
      </c>
      <c r="E1961" s="120" t="str">
        <f>VLOOKUP(F1961,辅助信息!A:B,2,FALSE)</f>
        <v>螺纹钢</v>
      </c>
      <c r="F1961" s="40" t="s">
        <v>130</v>
      </c>
      <c r="G1961" s="36">
        <f>3*17</f>
        <v>51</v>
      </c>
      <c r="H1961" s="121">
        <f>_xlfn.XLOOKUP(C1961&amp;F1961&amp;I1961&amp;J1961,'[1]2025年已发货'!$F:$F&amp;'[1]2025年已发货'!$C:$C&amp;'[1]2025年已发货'!$G:$G&amp;'[1]2025年已发货'!$H:$H,'[1]2025年已发货'!$E:$E,"未发货")</f>
        <v>51</v>
      </c>
      <c r="I1961" s="120" t="str">
        <f>VLOOKUP(B1961,辅助信息!E:I,3,FALSE)</f>
        <v>(武汉电气化局成达万高铁强电项目-南充营山)四川省南充市营山县保真路景阳名城南50米(保真路东)</v>
      </c>
      <c r="J1961" s="120" t="str">
        <f>VLOOKUP(B1961,辅助信息!E:I,4,FALSE)</f>
        <v>周开亮</v>
      </c>
      <c r="K1961" s="120">
        <f>VLOOKUP(J1961,辅助信息!H:I,2,FALSE)</f>
        <v>18381485052</v>
      </c>
      <c r="L1961" s="133" t="str">
        <f>VLOOKUP(B1961,辅助信息!E:J,6,FALSE)</f>
        <v>锈货不收！！下雨天钢筋没盖篷布不收！！，装货前联系收货人核实到场规格,没提前告知进场规格现场不给予接收</v>
      </c>
      <c r="M1961" s="91">
        <v>45831</v>
      </c>
      <c r="O1961" s="62">
        <f ca="1" t="shared" si="127"/>
        <v>0</v>
      </c>
      <c r="P1961" s="62">
        <f ca="1" t="shared" si="128"/>
        <v>129</v>
      </c>
      <c r="Q1961" s="29" t="str">
        <f>VLOOKUP(B1961,辅助信息!E:M,9,FALSE)</f>
        <v>ZTWM-CDGS-XS-2025-0033-中铁武汉电气化局集团有限公司成达万高速铁路强电工程项目</v>
      </c>
    </row>
    <row r="1962" hidden="1" spans="1:17">
      <c r="A1962" s="129"/>
      <c r="B1962" s="120" t="s">
        <v>81</v>
      </c>
      <c r="C1962" s="70">
        <v>45831</v>
      </c>
      <c r="D1962" s="120" t="str">
        <f>VLOOKUP(B1962,辅助信息!E:K,7,FALSE)</f>
        <v>JWDDCD2025060900080</v>
      </c>
      <c r="E1962" s="120" t="str">
        <f>VLOOKUP(F1962,辅助信息!A:B,2,FALSE)</f>
        <v>盘螺</v>
      </c>
      <c r="F1962" s="120" t="s">
        <v>26</v>
      </c>
      <c r="G1962" s="121">
        <v>27</v>
      </c>
      <c r="H1962" s="121">
        <f>_xlfn.XLOOKUP(C1962&amp;F1962&amp;I1962&amp;J1962,'[1]2025年已发货'!$F:$F&amp;'[1]2025年已发货'!$C:$C&amp;'[1]2025年已发货'!$G:$G&amp;'[1]2025年已发货'!$H:$H,'[1]2025年已发货'!$E:$E,"未发货")</f>
        <v>27</v>
      </c>
      <c r="I1962" s="120" t="str">
        <f>VLOOKUP(B1962,辅助信息!E:I,3,FALSE)</f>
        <v>（华西简阳西城嘉苑）四川省成都市简阳市简城街道高屋村</v>
      </c>
      <c r="J1962" s="120" t="str">
        <f>VLOOKUP(B1962,辅助信息!E:I,4,FALSE)</f>
        <v>张瀚镭</v>
      </c>
      <c r="K1962" s="120">
        <f>VLOOKUP(J1962,辅助信息!H:I,2,FALSE)</f>
        <v>15884666220</v>
      </c>
      <c r="L1962" s="122" t="str">
        <f>VLOOKUP(B1962,辅助信息!E:J,6,FALSE)</f>
        <v>现场禁止使用氢能源挂车！优先威钢发货,我方卸车,新老国标钢厂不加价可直发，因陕钢多次出现磅差，项目拒绝使用</v>
      </c>
      <c r="M1962" s="91">
        <v>45831</v>
      </c>
      <c r="O1962" s="62">
        <f ca="1" t="shared" si="127"/>
        <v>0</v>
      </c>
      <c r="P1962" s="62">
        <f ca="1" t="shared" si="128"/>
        <v>129</v>
      </c>
      <c r="Q1962" s="29" t="str">
        <f>VLOOKUP(B1962,辅助信息!E:M,9,FALSE)</f>
        <v>ZTWM-CDGS-XS-2024-0030-华西集采-简州大道</v>
      </c>
    </row>
    <row r="1963" hidden="1" spans="1:17">
      <c r="A1963" s="129"/>
      <c r="B1963" s="120" t="s">
        <v>81</v>
      </c>
      <c r="C1963" s="70">
        <v>45831</v>
      </c>
      <c r="D1963" s="120" t="str">
        <f>VLOOKUP(B1963,辅助信息!E:K,7,FALSE)</f>
        <v>JWDDCD2025060900080</v>
      </c>
      <c r="E1963" s="120" t="str">
        <f>VLOOKUP(F1963,辅助信息!A:B,2,FALSE)</f>
        <v>螺纹钢</v>
      </c>
      <c r="F1963" s="120" t="s">
        <v>32</v>
      </c>
      <c r="G1963" s="121">
        <v>22</v>
      </c>
      <c r="H1963" s="121">
        <f>_xlfn.XLOOKUP(C1963&amp;F1963&amp;I1963&amp;J1963,'[1]2025年已发货'!$F:$F&amp;'[1]2025年已发货'!$C:$C&amp;'[1]2025年已发货'!$G:$G&amp;'[1]2025年已发货'!$H:$H,'[1]2025年已发货'!$E:$E,"未发货")</f>
        <v>18</v>
      </c>
      <c r="I1963" s="120" t="str">
        <f>VLOOKUP(B1963,辅助信息!E:I,3,FALSE)</f>
        <v>（华西简阳西城嘉苑）四川省成都市简阳市简城街道高屋村</v>
      </c>
      <c r="J1963" s="120" t="str">
        <f>VLOOKUP(B1963,辅助信息!E:I,4,FALSE)</f>
        <v>张瀚镭</v>
      </c>
      <c r="K1963" s="120">
        <f>VLOOKUP(J1963,辅助信息!H:I,2,FALSE)</f>
        <v>15884666220</v>
      </c>
      <c r="L1963" s="122" t="str">
        <f>VLOOKUP(B1963,辅助信息!E:J,6,FALSE)</f>
        <v>现场禁止使用氢能源挂车！优先威钢发货,我方卸车,新老国标钢厂不加价可直发，因陕钢多次出现磅差，项目拒绝使用</v>
      </c>
      <c r="M1963" s="91">
        <v>45831</v>
      </c>
      <c r="O1963" s="62">
        <f ca="1" t="shared" si="127"/>
        <v>0</v>
      </c>
      <c r="P1963" s="62">
        <f ca="1" t="shared" si="128"/>
        <v>129</v>
      </c>
      <c r="Q1963" s="29" t="str">
        <f>VLOOKUP(B1963,辅助信息!E:M,9,FALSE)</f>
        <v>ZTWM-CDGS-XS-2024-0030-华西集采-简州大道</v>
      </c>
    </row>
    <row r="1964" hidden="1" spans="1:17">
      <c r="A1964" s="129"/>
      <c r="B1964" s="120" t="s">
        <v>81</v>
      </c>
      <c r="C1964" s="70">
        <v>45831</v>
      </c>
      <c r="D1964" s="120" t="str">
        <f>VLOOKUP(B1964,辅助信息!E:K,7,FALSE)</f>
        <v>JWDDCD2025060900080</v>
      </c>
      <c r="E1964" s="120" t="str">
        <f>VLOOKUP(F1964,辅助信息!A:B,2,FALSE)</f>
        <v>螺纹钢</v>
      </c>
      <c r="F1964" s="120" t="s">
        <v>33</v>
      </c>
      <c r="G1964" s="121">
        <v>30</v>
      </c>
      <c r="H1964" s="121">
        <f>_xlfn.XLOOKUP(C1964&amp;F1964&amp;I1964&amp;J1964,'[1]2025年已发货'!$F:$F&amp;'[1]2025年已发货'!$C:$C&amp;'[1]2025年已发货'!$G:$G&amp;'[1]2025年已发货'!$H:$H,'[1]2025年已发货'!$E:$E,"未发货")</f>
        <v>21</v>
      </c>
      <c r="I1964" s="120" t="str">
        <f>VLOOKUP(B1964,辅助信息!E:I,3,FALSE)</f>
        <v>（华西简阳西城嘉苑）四川省成都市简阳市简城街道高屋村</v>
      </c>
      <c r="J1964" s="120" t="str">
        <f>VLOOKUP(B1964,辅助信息!E:I,4,FALSE)</f>
        <v>张瀚镭</v>
      </c>
      <c r="K1964" s="120">
        <f>VLOOKUP(J1964,辅助信息!H:I,2,FALSE)</f>
        <v>15884666220</v>
      </c>
      <c r="L1964" s="122" t="str">
        <f>VLOOKUP(B1964,辅助信息!E:J,6,FALSE)</f>
        <v>现场禁止使用氢能源挂车！优先威钢发货,我方卸车,新老国标钢厂不加价可直发，因陕钢多次出现磅差，项目拒绝使用</v>
      </c>
      <c r="M1964" s="91">
        <v>45831</v>
      </c>
      <c r="O1964" s="62">
        <f ca="1" t="shared" si="127"/>
        <v>0</v>
      </c>
      <c r="P1964" s="62">
        <f ca="1" t="shared" si="128"/>
        <v>129</v>
      </c>
      <c r="Q1964" s="29" t="str">
        <f>VLOOKUP(B1964,辅助信息!E:M,9,FALSE)</f>
        <v>ZTWM-CDGS-XS-2024-0030-华西集采-简州大道</v>
      </c>
    </row>
    <row r="1965" hidden="1" spans="1:17">
      <c r="A1965" s="129"/>
      <c r="B1965" s="120" t="s">
        <v>81</v>
      </c>
      <c r="C1965" s="70">
        <v>45831</v>
      </c>
      <c r="D1965" s="120" t="str">
        <f>VLOOKUP(B1965,辅助信息!E:K,7,FALSE)</f>
        <v>JWDDCD2025060900080</v>
      </c>
      <c r="E1965" s="120" t="str">
        <f>VLOOKUP(F1965,辅助信息!A:B,2,FALSE)</f>
        <v>螺纹钢</v>
      </c>
      <c r="F1965" s="120" t="s">
        <v>18</v>
      </c>
      <c r="G1965" s="121">
        <v>6</v>
      </c>
      <c r="H1965" s="121">
        <f>_xlfn.XLOOKUP(C1965&amp;F1965&amp;I1965&amp;J1965,'[1]2025年已发货'!$F:$F&amp;'[1]2025年已发货'!$C:$C&amp;'[1]2025年已发货'!$G:$G&amp;'[1]2025年已发货'!$H:$H,'[1]2025年已发货'!$E:$E,"未发货")</f>
        <v>6</v>
      </c>
      <c r="I1965" s="120" t="str">
        <f>VLOOKUP(B1965,辅助信息!E:I,3,FALSE)</f>
        <v>（华西简阳西城嘉苑）四川省成都市简阳市简城街道高屋村</v>
      </c>
      <c r="J1965" s="120" t="str">
        <f>VLOOKUP(B1965,辅助信息!E:I,4,FALSE)</f>
        <v>张瀚镭</v>
      </c>
      <c r="K1965" s="120">
        <f>VLOOKUP(J1965,辅助信息!H:I,2,FALSE)</f>
        <v>15884666220</v>
      </c>
      <c r="L1965" s="122" t="str">
        <f>VLOOKUP(B1965,辅助信息!E:J,6,FALSE)</f>
        <v>现场禁止使用氢能源挂车！优先威钢发货,我方卸车,新老国标钢厂不加价可直发，因陕钢多次出现磅差，项目拒绝使用</v>
      </c>
      <c r="M1965" s="91">
        <v>45831</v>
      </c>
      <c r="O1965" s="62">
        <f ca="1" t="shared" si="127"/>
        <v>0</v>
      </c>
      <c r="P1965" s="62">
        <f ca="1" t="shared" si="128"/>
        <v>129</v>
      </c>
      <c r="Q1965" s="29" t="str">
        <f>VLOOKUP(B1965,辅助信息!E:M,9,FALSE)</f>
        <v>ZTWM-CDGS-XS-2024-0030-华西集采-简州大道</v>
      </c>
    </row>
    <row r="1966" hidden="1" spans="1:17">
      <c r="A1966" s="57" t="s">
        <v>178</v>
      </c>
      <c r="B1966" s="40" t="s">
        <v>44</v>
      </c>
      <c r="C1966" s="70">
        <v>45831</v>
      </c>
      <c r="D1966" s="120" t="str">
        <f>VLOOKUP(B1966,辅助信息!E:K,7,FALSE)</f>
        <v>JWDDCD2025060600053</v>
      </c>
      <c r="E1966" s="120" t="str">
        <f>VLOOKUP(F1966,辅助信息!A:B,2,FALSE)</f>
        <v>盘螺</v>
      </c>
      <c r="F1966" s="40" t="s">
        <v>26</v>
      </c>
      <c r="G1966" s="36">
        <v>20</v>
      </c>
      <c r="H1966" s="121">
        <f>_xlfn.XLOOKUP(C1966&amp;F1966&amp;I1966&amp;J1966,'[1]2025年已发货'!$F:$F&amp;'[1]2025年已发货'!$C:$C&amp;'[1]2025年已发货'!$G:$G&amp;'[1]2025年已发货'!$H:$H,'[1]2025年已发货'!$E:$E,"未发货")</f>
        <v>20</v>
      </c>
      <c r="I1966" s="120" t="str">
        <f>VLOOKUP(B1966,辅助信息!E:I,3,FALSE)</f>
        <v>（华西酒城南）成都市武侯区火车南站西路8号酒城南项目</v>
      </c>
      <c r="J1966" s="120" t="str">
        <f>VLOOKUP(B1966,辅助信息!E:I,4,FALSE)</f>
        <v>龙耀宇</v>
      </c>
      <c r="K1966" s="120">
        <f>VLOOKUP(J1966,辅助信息!H:I,2,FALSE)</f>
        <v>18384145895</v>
      </c>
      <c r="L1966" s="122" t="str">
        <f>VLOOKUP(B1966,辅助信息!E:J,6,FALSE)</f>
        <v>对方卸车</v>
      </c>
      <c r="M1966" s="91">
        <v>45831</v>
      </c>
      <c r="O1966" s="62">
        <f ca="1" t="shared" si="127"/>
        <v>0</v>
      </c>
      <c r="P1966" s="62">
        <f ca="1" t="shared" si="128"/>
        <v>129</v>
      </c>
      <c r="Q1966" s="29" t="str">
        <f>VLOOKUP(B1966,辅助信息!E:M,9,FALSE)</f>
        <v>ZTWM-CDGS-XS-2024-0189-华西集采-酒城南项目</v>
      </c>
    </row>
    <row r="1967" hidden="1" spans="1:18">
      <c r="A1967" s="57" t="s">
        <v>178</v>
      </c>
      <c r="B1967" s="40" t="s">
        <v>151</v>
      </c>
      <c r="C1967" s="70">
        <v>45834</v>
      </c>
      <c r="D1967" s="120" t="str">
        <f>VLOOKUP(B1967,辅助信息!E:K,7,FALSE)</f>
        <v>JWDDCD2025051000019</v>
      </c>
      <c r="E1967" s="120" t="str">
        <f>VLOOKUP(F1967,辅助信息!A:B,2,FALSE)</f>
        <v>螺纹钢</v>
      </c>
      <c r="F1967" s="40" t="s">
        <v>27</v>
      </c>
      <c r="G1967" s="36">
        <v>6</v>
      </c>
      <c r="H1967" s="121">
        <f>_xlfn.XLOOKUP(C1967&amp;F1967&amp;I1967&amp;J1967,'[1]2025年已发货'!$F:$F&amp;'[1]2025年已发货'!$C:$C&amp;'[1]2025年已发货'!$G:$G&amp;'[1]2025年已发货'!$H:$H,'[1]2025年已发货'!$E:$E,"未发货")</f>
        <v>6</v>
      </c>
      <c r="I1967" s="120" t="str">
        <f>VLOOKUP(B1967,辅助信息!E:I,3,FALSE)</f>
        <v>(五冶钢构医学科学产业园建设项目房建一部-四标（3-7）)四川省南充市顺庆区搬罾街道学府大道二段</v>
      </c>
      <c r="J1967" s="120" t="str">
        <f>VLOOKUP(B1967,辅助信息!E:I,4,FALSE)</f>
        <v>胡泽宇</v>
      </c>
      <c r="K1967" s="120">
        <f>VLOOKUP(J1967,辅助信息!H:I,2,FALSE)</f>
        <v>18141337338</v>
      </c>
      <c r="L1967" s="122" t="str">
        <f>VLOOKUP(B1967,辅助信息!E:J,6,FALSE)</f>
        <v>送货单：送货单位：南充思临新材料科技有限公司,收货单位：五冶集团川北(南充)建设有限公司,项目名称：南充医学科学产业园,送货车型13米,装货前联系收货人核实到场规格</v>
      </c>
      <c r="M1967" s="91">
        <v>45835</v>
      </c>
      <c r="O1967" s="62">
        <f ca="1" t="shared" si="127"/>
        <v>0</v>
      </c>
      <c r="P1967" s="62">
        <f ca="1" t="shared" si="128"/>
        <v>125</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0">
        <v>45834</v>
      </c>
      <c r="D1968" s="120" t="str">
        <f>VLOOKUP(B1968,辅助信息!E:K,7,FALSE)</f>
        <v>JWDDCD2025051000019</v>
      </c>
      <c r="E1968" s="120" t="str">
        <f>VLOOKUP(F1968,辅助信息!A:B,2,FALSE)</f>
        <v>螺纹钢</v>
      </c>
      <c r="F1968" s="40" t="s">
        <v>19</v>
      </c>
      <c r="G1968" s="36">
        <v>21</v>
      </c>
      <c r="H1968" s="121">
        <f>_xlfn.XLOOKUP(C1968&amp;F1968&amp;I1968&amp;J1968,'[1]2025年已发货'!$F:$F&amp;'[1]2025年已发货'!$C:$C&amp;'[1]2025年已发货'!$G:$G&amp;'[1]2025年已发货'!$H:$H,'[1]2025年已发货'!$E:$E,"未发货")</f>
        <v>21</v>
      </c>
      <c r="I1968" s="120" t="str">
        <f>VLOOKUP(B1968,辅助信息!E:I,3,FALSE)</f>
        <v>(五冶钢构医学科学产业园建设项目房建一部-四标（3-7）)四川省南充市顺庆区搬罾街道学府大道二段</v>
      </c>
      <c r="J1968" s="120" t="str">
        <f>VLOOKUP(B1968,辅助信息!E:I,4,FALSE)</f>
        <v>胡泽宇</v>
      </c>
      <c r="K1968" s="120">
        <f>VLOOKUP(J1968,辅助信息!H:I,2,FALSE)</f>
        <v>18141337338</v>
      </c>
      <c r="L1968" s="122" t="str">
        <f>VLOOKUP(B1968,辅助信息!E:J,6,FALSE)</f>
        <v>送货单：送货单位：南充思临新材料科技有限公司,收货单位：五冶集团川北(南充)建设有限公司,项目名称：南充医学科学产业园,送货车型13米,装货前联系收货人核实到场规格</v>
      </c>
      <c r="M1968" s="91">
        <v>45835</v>
      </c>
      <c r="O1968" s="62">
        <f ca="1" t="shared" si="127"/>
        <v>0</v>
      </c>
      <c r="P1968" s="62">
        <f ca="1" t="shared" si="128"/>
        <v>125</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0">
        <v>45834</v>
      </c>
      <c r="D1969" s="120" t="str">
        <f>VLOOKUP(B1969,辅助信息!E:K,7,FALSE)</f>
        <v>JWDDCD2025052800131</v>
      </c>
      <c r="E1969" s="120" t="str">
        <f>VLOOKUP(F1969,辅助信息!A:B,2,FALSE)</f>
        <v>螺纹钢</v>
      </c>
      <c r="F1969" s="40" t="s">
        <v>66</v>
      </c>
      <c r="G1969" s="36">
        <v>9</v>
      </c>
      <c r="H1969" s="121">
        <f>_xlfn.XLOOKUP(C1969&amp;F1969&amp;I1969&amp;J1969,'[1]2025年已发货'!$F:$F&amp;'[1]2025年已发货'!$C:$C&amp;'[1]2025年已发货'!$G:$G&amp;'[1]2025年已发货'!$H:$H,'[1]2025年已发货'!$E:$E,"未发货")</f>
        <v>9</v>
      </c>
      <c r="I1969" s="120" t="str">
        <f>VLOOKUP(B1969,辅助信息!E:I,3,FALSE)</f>
        <v>（商投建工达州中医药科技园-4工区-3号楼）达州市通川区达州中医药职业学院犀牛大道北段</v>
      </c>
      <c r="J1969" s="120" t="str">
        <f>VLOOKUP(B1969,辅助信息!E:I,4,FALSE)</f>
        <v>张扬</v>
      </c>
      <c r="K1969" s="120">
        <f>VLOOKUP(J1969,辅助信息!H:I,2,FALSE)</f>
        <v>18381904567</v>
      </c>
      <c r="L1969" s="122" t="str">
        <f>VLOOKUP(B1969,辅助信息!E:J,6,FALSE)</f>
        <v>控制炉批号！多了现场不收！,优先安排达钢,提前联系到场规格及数量</v>
      </c>
      <c r="M1969" s="91">
        <v>45835</v>
      </c>
      <c r="O1969" s="62">
        <f ca="1" t="shared" ref="O1969:O1977" si="129">IF(OR(M1969="",N1969&lt;&gt;""),"",MAX(M1969-TODAY(),0))</f>
        <v>0</v>
      </c>
      <c r="P1969" s="62">
        <f ca="1" t="shared" ref="P1969:P1977" si="130">IF(M1969="","",IF(N1969&lt;&gt;"",MAX(N1969-M1969,0),IF(TODAY()&gt;M1969,TODAY()-M1969,0)))</f>
        <v>125</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0">
        <v>45834</v>
      </c>
      <c r="D1970" s="120" t="str">
        <f>VLOOKUP(B1970,辅助信息!E:K,7,FALSE)</f>
        <v>JWDDCD2025052800131</v>
      </c>
      <c r="E1970" s="120" t="str">
        <f>VLOOKUP(F1970,辅助信息!A:B,2,FALSE)</f>
        <v>螺纹钢</v>
      </c>
      <c r="F1970" s="40" t="s">
        <v>58</v>
      </c>
      <c r="G1970" s="36">
        <v>12</v>
      </c>
      <c r="H1970" s="121">
        <f>_xlfn.XLOOKUP(C1970&amp;F1970&amp;I1970&amp;J1970,'[1]2025年已发货'!$F:$F&amp;'[1]2025年已发货'!$C:$C&amp;'[1]2025年已发货'!$G:$G&amp;'[1]2025年已发货'!$H:$H,'[1]2025年已发货'!$E:$E,"未发货")</f>
        <v>12</v>
      </c>
      <c r="I1970" s="120" t="str">
        <f>VLOOKUP(B1970,辅助信息!E:I,3,FALSE)</f>
        <v>（商投建工达州中医药科技园-4工区-3号楼）达州市通川区达州中医药职业学院犀牛大道北段</v>
      </c>
      <c r="J1970" s="120" t="str">
        <f>VLOOKUP(B1970,辅助信息!E:I,4,FALSE)</f>
        <v>张扬</v>
      </c>
      <c r="K1970" s="120">
        <f>VLOOKUP(J1970,辅助信息!H:I,2,FALSE)</f>
        <v>18381904567</v>
      </c>
      <c r="L1970" s="122" t="str">
        <f>VLOOKUP(B1970,辅助信息!E:J,6,FALSE)</f>
        <v>控制炉批号！多了现场不收！,优先安排达钢,提前联系到场规格及数量</v>
      </c>
      <c r="M1970" s="91">
        <v>45835</v>
      </c>
      <c r="O1970" s="62">
        <f ca="1" t="shared" si="129"/>
        <v>0</v>
      </c>
      <c r="P1970" s="62">
        <f ca="1" t="shared" si="130"/>
        <v>125</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0">
        <v>45834</v>
      </c>
      <c r="D1971" s="120" t="str">
        <f>VLOOKUP(B1971,辅助信息!E:K,7,FALSE)</f>
        <v>JWDDCD2025052800131</v>
      </c>
      <c r="E1971" s="120" t="str">
        <f>VLOOKUP(F1971,辅助信息!A:B,2,FALSE)</f>
        <v>螺纹钢</v>
      </c>
      <c r="F1971" s="40" t="s">
        <v>22</v>
      </c>
      <c r="G1971" s="36">
        <v>24</v>
      </c>
      <c r="H1971" s="121" t="str">
        <f>_xlfn.XLOOKUP(C1971&amp;F1971&amp;I1971&amp;J1971,'[1]2025年已发货'!$F:$F&amp;'[1]2025年已发货'!$C:$C&amp;'[1]2025年已发货'!$G:$G&amp;'[1]2025年已发货'!$H:$H,'[1]2025年已发货'!$E:$E,"未发货")</f>
        <v>未发货</v>
      </c>
      <c r="I1971" s="120" t="str">
        <f>VLOOKUP(B1971,辅助信息!E:I,3,FALSE)</f>
        <v>（商投建工达州中医药科技园-4工区-3号楼）达州市通川区达州中医药职业学院犀牛大道北段</v>
      </c>
      <c r="J1971" s="120" t="str">
        <f>VLOOKUP(B1971,辅助信息!E:I,4,FALSE)</f>
        <v>张扬</v>
      </c>
      <c r="K1971" s="120">
        <f>VLOOKUP(J1971,辅助信息!H:I,2,FALSE)</f>
        <v>18381904567</v>
      </c>
      <c r="L1971" s="122" t="str">
        <f>VLOOKUP(B1971,辅助信息!E:J,6,FALSE)</f>
        <v>控制炉批号！多了现场不收！,优先安排达钢,提前联系到场规格及数量</v>
      </c>
      <c r="M1971" s="91">
        <v>45835</v>
      </c>
      <c r="O1971" s="62">
        <f ca="1" t="shared" si="129"/>
        <v>0</v>
      </c>
      <c r="P1971" s="62">
        <f ca="1" t="shared" si="130"/>
        <v>125</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0">
        <v>45834</v>
      </c>
      <c r="D1972" s="120" t="str">
        <f>VLOOKUP(B1972,辅助信息!E:K,7,FALSE)</f>
        <v>JWDDCD2025052800131</v>
      </c>
      <c r="E1972" s="120" t="str">
        <f>VLOOKUP(F1972,辅助信息!A:B,2,FALSE)</f>
        <v>螺纹钢</v>
      </c>
      <c r="F1972" s="40" t="s">
        <v>66</v>
      </c>
      <c r="G1972" s="36">
        <v>6</v>
      </c>
      <c r="H1972" s="121">
        <f>_xlfn.XLOOKUP(C1972&amp;F1972&amp;I1972&amp;J1972,'[1]2025年已发货'!$F:$F&amp;'[1]2025年已发货'!$C:$C&amp;'[1]2025年已发货'!$G:$G&amp;'[1]2025年已发货'!$H:$H,'[1]2025年已发货'!$E:$E,"未发货")</f>
        <v>6</v>
      </c>
      <c r="I1972" s="120" t="str">
        <f>VLOOKUP(B1972,辅助信息!E:I,3,FALSE)</f>
        <v>（商投建工达州中医药科技园-4工区-8号楼）达州市通川区达州中医药职业学院犀牛大道北段</v>
      </c>
      <c r="J1972" s="120" t="str">
        <f>VLOOKUP(B1972,辅助信息!E:I,4,FALSE)</f>
        <v>张扬</v>
      </c>
      <c r="K1972" s="120">
        <f>VLOOKUP(J1972,辅助信息!H:I,2,FALSE)</f>
        <v>18381904567</v>
      </c>
      <c r="L1972" s="122" t="str">
        <f>VLOOKUP(B1972,辅助信息!E:J,6,FALSE)</f>
        <v>控制炉批号！多了现场不收！,优先安排达钢,提前联系到场规格及数量</v>
      </c>
      <c r="M1972" s="91">
        <v>45835</v>
      </c>
      <c r="O1972" s="62">
        <f ca="1" t="shared" si="129"/>
        <v>0</v>
      </c>
      <c r="P1972" s="62">
        <f ca="1" t="shared" si="130"/>
        <v>125</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0">
        <v>45834</v>
      </c>
      <c r="D1973" s="120" t="str">
        <f>VLOOKUP(B1973,辅助信息!E:K,7,FALSE)</f>
        <v>JWDDCD2025052800131</v>
      </c>
      <c r="E1973" s="120" t="str">
        <f>VLOOKUP(F1973,辅助信息!A:B,2,FALSE)</f>
        <v>螺纹钢</v>
      </c>
      <c r="F1973" s="40" t="s">
        <v>45</v>
      </c>
      <c r="G1973" s="36">
        <v>6</v>
      </c>
      <c r="H1973" s="121">
        <f>_xlfn.XLOOKUP(C1973&amp;F1973&amp;I1973&amp;J1973,'[1]2025年已发货'!$F:$F&amp;'[1]2025年已发货'!$C:$C&amp;'[1]2025年已发货'!$G:$G&amp;'[1]2025年已发货'!$H:$H,'[1]2025年已发货'!$E:$E,"未发货")</f>
        <v>6</v>
      </c>
      <c r="I1973" s="120" t="str">
        <f>VLOOKUP(B1973,辅助信息!E:I,3,FALSE)</f>
        <v>（商投建工达州中医药科技园-4工区-8号楼）达州市通川区达州中医药职业学院犀牛大道北段</v>
      </c>
      <c r="J1973" s="120" t="str">
        <f>VLOOKUP(B1973,辅助信息!E:I,4,FALSE)</f>
        <v>张扬</v>
      </c>
      <c r="K1973" s="120">
        <f>VLOOKUP(J1973,辅助信息!H:I,2,FALSE)</f>
        <v>18381904567</v>
      </c>
      <c r="L1973" s="122" t="str">
        <f>VLOOKUP(B1973,辅助信息!E:J,6,FALSE)</f>
        <v>控制炉批号！多了现场不收！,优先安排达钢,提前联系到场规格及数量</v>
      </c>
      <c r="M1973" s="91">
        <v>45835</v>
      </c>
      <c r="O1973" s="62">
        <f ca="1" t="shared" si="129"/>
        <v>0</v>
      </c>
      <c r="P1973" s="62">
        <f ca="1" t="shared" si="130"/>
        <v>125</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0">
        <v>45834</v>
      </c>
      <c r="D1974" s="120" t="str">
        <f>VLOOKUP(B1974,辅助信息!E:K,7,FALSE)</f>
        <v>JWDDCD2025052800131</v>
      </c>
      <c r="E1974" s="120" t="str">
        <f>VLOOKUP(F1974,辅助信息!A:B,2,FALSE)</f>
        <v>螺纹钢</v>
      </c>
      <c r="F1974" s="40" t="s">
        <v>21</v>
      </c>
      <c r="G1974" s="36">
        <v>6</v>
      </c>
      <c r="H1974" s="121" t="str">
        <f>_xlfn.XLOOKUP(C1974&amp;F1974&amp;I1974&amp;J1974,'[1]2025年已发货'!$F:$F&amp;'[1]2025年已发货'!$C:$C&amp;'[1]2025年已发货'!$G:$G&amp;'[1]2025年已发货'!$H:$H,'[1]2025年已发货'!$E:$E,"未发货")</f>
        <v>未发货</v>
      </c>
      <c r="I1974" s="120" t="str">
        <f>VLOOKUP(B1974,辅助信息!E:I,3,FALSE)</f>
        <v>（商投建工达州中医药科技园-4工区-8号楼）达州市通川区达州中医药职业学院犀牛大道北段</v>
      </c>
      <c r="J1974" s="120" t="str">
        <f>VLOOKUP(B1974,辅助信息!E:I,4,FALSE)</f>
        <v>张扬</v>
      </c>
      <c r="K1974" s="120">
        <f>VLOOKUP(J1974,辅助信息!H:I,2,FALSE)</f>
        <v>18381904567</v>
      </c>
      <c r="L1974" s="122" t="str">
        <f>VLOOKUP(B1974,辅助信息!E:J,6,FALSE)</f>
        <v>控制炉批号！多了现场不收！,优先安排达钢,提前联系到场规格及数量</v>
      </c>
      <c r="M1974" s="91">
        <v>45835</v>
      </c>
      <c r="O1974" s="62">
        <f ca="1" t="shared" si="129"/>
        <v>0</v>
      </c>
      <c r="P1974" s="62">
        <f ca="1" t="shared" si="130"/>
        <v>125</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0">
        <v>45834</v>
      </c>
      <c r="D1975" s="120" t="str">
        <f>VLOOKUP(B1975,辅助信息!E:K,7,FALSE)</f>
        <v>JWDDCD2025052800131</v>
      </c>
      <c r="E1975" s="120" t="str">
        <f>VLOOKUP(F1975,辅助信息!A:B,2,FALSE)</f>
        <v>螺纹钢</v>
      </c>
      <c r="F1975" s="40" t="s">
        <v>58</v>
      </c>
      <c r="G1975" s="36">
        <v>24</v>
      </c>
      <c r="H1975" s="121">
        <f>_xlfn.XLOOKUP(C1975&amp;F1975&amp;I1975&amp;J1975,'[1]2025年已发货'!$F:$F&amp;'[1]2025年已发货'!$C:$C&amp;'[1]2025年已发货'!$G:$G&amp;'[1]2025年已发货'!$H:$H,'[1]2025年已发货'!$E:$E,"未发货")</f>
        <v>24</v>
      </c>
      <c r="I1975" s="120" t="str">
        <f>VLOOKUP(B1975,辅助信息!E:I,3,FALSE)</f>
        <v>（商投建工达州中医药科技园-4工区-8号楼）达州市通川区达州中医药职业学院犀牛大道北段</v>
      </c>
      <c r="J1975" s="120" t="str">
        <f>VLOOKUP(B1975,辅助信息!E:I,4,FALSE)</f>
        <v>张扬</v>
      </c>
      <c r="K1975" s="120">
        <f>VLOOKUP(J1975,辅助信息!H:I,2,FALSE)</f>
        <v>18381904567</v>
      </c>
      <c r="L1975" s="122" t="str">
        <f>VLOOKUP(B1975,辅助信息!E:J,6,FALSE)</f>
        <v>控制炉批号！多了现场不收！,优先安排达钢,提前联系到场规格及数量</v>
      </c>
      <c r="M1975" s="91">
        <v>45835</v>
      </c>
      <c r="O1975" s="62">
        <f ca="1" t="shared" si="129"/>
        <v>0</v>
      </c>
      <c r="P1975" s="62">
        <f ca="1" t="shared" si="130"/>
        <v>125</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0">
        <v>45834</v>
      </c>
      <c r="D1976" s="120" t="str">
        <f>VLOOKUP(B1976,辅助信息!E:K,7,FALSE)</f>
        <v>JWDDCD2025052800131</v>
      </c>
      <c r="E1976" s="120" t="str">
        <f>VLOOKUP(F1976,辅助信息!A:B,2,FALSE)</f>
        <v>螺纹钢</v>
      </c>
      <c r="F1976" s="40" t="s">
        <v>46</v>
      </c>
      <c r="G1976" s="36">
        <v>24</v>
      </c>
      <c r="H1976" s="121" t="str">
        <f>_xlfn.XLOOKUP(C1976&amp;F1976&amp;I1976&amp;J1976,'[1]2025年已发货'!$F:$F&amp;'[1]2025年已发货'!$C:$C&amp;'[1]2025年已发货'!$G:$G&amp;'[1]2025年已发货'!$H:$H,'[1]2025年已发货'!$E:$E,"未发货")</f>
        <v>未发货</v>
      </c>
      <c r="I1976" s="120" t="str">
        <f>VLOOKUP(B1976,辅助信息!E:I,3,FALSE)</f>
        <v>（商投建工达州中医药科技园-4工区-8号楼）达州市通川区达州中医药职业学院犀牛大道北段</v>
      </c>
      <c r="J1976" s="120" t="str">
        <f>VLOOKUP(B1976,辅助信息!E:I,4,FALSE)</f>
        <v>张扬</v>
      </c>
      <c r="K1976" s="120">
        <f>VLOOKUP(J1976,辅助信息!H:I,2,FALSE)</f>
        <v>18381904567</v>
      </c>
      <c r="L1976" s="122" t="str">
        <f>VLOOKUP(B1976,辅助信息!E:J,6,FALSE)</f>
        <v>控制炉批号！多了现场不收！,优先安排达钢,提前联系到场规格及数量</v>
      </c>
      <c r="M1976" s="91">
        <v>45835</v>
      </c>
      <c r="O1976" s="62">
        <f ca="1" t="shared" si="129"/>
        <v>0</v>
      </c>
      <c r="P1976" s="62">
        <f ca="1" t="shared" si="130"/>
        <v>125</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0">
        <v>45834</v>
      </c>
      <c r="D1977" s="120" t="str">
        <f>VLOOKUP(B1977,辅助信息!E:K,7,FALSE)</f>
        <v>JWDDCD2025052800131</v>
      </c>
      <c r="E1977" s="120" t="str">
        <f>VLOOKUP(F1977,辅助信息!A:B,2,FALSE)</f>
        <v>螺纹钢</v>
      </c>
      <c r="F1977" s="40" t="s">
        <v>22</v>
      </c>
      <c r="G1977" s="36">
        <v>24</v>
      </c>
      <c r="H1977" s="121" t="str">
        <f>_xlfn.XLOOKUP(C1977&amp;F1977&amp;I1977&amp;J1977,'[1]2025年已发货'!$F:$F&amp;'[1]2025年已发货'!$C:$C&amp;'[1]2025年已发货'!$G:$G&amp;'[1]2025年已发货'!$H:$H,'[1]2025年已发货'!$E:$E,"未发货")</f>
        <v>未发货</v>
      </c>
      <c r="I1977" s="120" t="str">
        <f>VLOOKUP(B1977,辅助信息!E:I,3,FALSE)</f>
        <v>（商投建工达州中医药科技园-4工区-8号楼）达州市通川区达州中医药职业学院犀牛大道北段</v>
      </c>
      <c r="J1977" s="120" t="str">
        <f>VLOOKUP(B1977,辅助信息!E:I,4,FALSE)</f>
        <v>张扬</v>
      </c>
      <c r="K1977" s="120">
        <f>VLOOKUP(J1977,辅助信息!H:I,2,FALSE)</f>
        <v>18381904567</v>
      </c>
      <c r="L1977" s="122" t="str">
        <f>VLOOKUP(B1977,辅助信息!E:J,6,FALSE)</f>
        <v>控制炉批号！多了现场不收！,优先安排达钢,提前联系到场规格及数量</v>
      </c>
      <c r="M1977" s="91">
        <v>45835</v>
      </c>
      <c r="O1977" s="62">
        <f ca="1" t="shared" si="129"/>
        <v>0</v>
      </c>
      <c r="P1977" s="62">
        <f ca="1" t="shared" si="130"/>
        <v>125</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0">
        <v>45834</v>
      </c>
      <c r="D1978" s="120" t="str">
        <f>VLOOKUP(B1978,辅助信息!E:K,7,FALSE)</f>
        <v>JWDDCD2025052800131</v>
      </c>
      <c r="E1978" s="120" t="str">
        <f>VLOOKUP(F1978,辅助信息!A:B,2,FALSE)</f>
        <v>螺纹钢</v>
      </c>
      <c r="F1978" s="40" t="s">
        <v>21</v>
      </c>
      <c r="G1978" s="36">
        <v>12</v>
      </c>
      <c r="H1978" s="121" t="str">
        <f>_xlfn.XLOOKUP(C1978&amp;F1978&amp;I1978&amp;J1978,'[1]2025年已发货'!$F:$F&amp;'[1]2025年已发货'!$C:$C&amp;'[1]2025年已发货'!$G:$G&amp;'[1]2025年已发货'!$H:$H,'[1]2025年已发货'!$E:$E,"未发货")</f>
        <v>未发货</v>
      </c>
      <c r="I1978" s="120" t="str">
        <f>VLOOKUP(B1978,辅助信息!E:I,3,FALSE)</f>
        <v>（商投建工达州中医药科技园-1工区）达州市通川区达州中医药职业学院犀牛大道北段</v>
      </c>
      <c r="J1978" s="120" t="str">
        <f>VLOOKUP(B1978,辅助信息!E:I,4,FALSE)</f>
        <v>程黄刚</v>
      </c>
      <c r="K1978" s="120">
        <f>VLOOKUP(J1978,辅助信息!H:I,2,FALSE)</f>
        <v>15108211617</v>
      </c>
      <c r="L1978" s="122" t="str">
        <f>VLOOKUP(B1978,辅助信息!E:J,6,FALSE)</f>
        <v>控制炉批号！多了现场不收！,优先安排达钢,提前联系到场规格及数量</v>
      </c>
      <c r="M1978" s="91">
        <v>45835</v>
      </c>
      <c r="O1978" s="62">
        <f ca="1" t="shared" ref="O1978:O1989" si="131">IF(OR(M1978="",N1978&lt;&gt;""),"",MAX(M1978-TODAY(),0))</f>
        <v>0</v>
      </c>
      <c r="P1978" s="62">
        <f ca="1" t="shared" ref="P1978:P1989" si="132">IF(M1978="","",IF(N1978&lt;&gt;"",MAX(N1978-M1978,0),IF(TODAY()&gt;M1978,TODAY()-M1978,0)))</f>
        <v>125</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0">
        <v>45834</v>
      </c>
      <c r="D1979" s="120" t="str">
        <f>VLOOKUP(B1979,辅助信息!E:K,7,FALSE)</f>
        <v>JWDDCD2025052800131</v>
      </c>
      <c r="E1979" s="120" t="str">
        <f>VLOOKUP(F1979,辅助信息!A:B,2,FALSE)</f>
        <v>螺纹钢</v>
      </c>
      <c r="F1979" s="40" t="s">
        <v>58</v>
      </c>
      <c r="G1979" s="36">
        <v>6</v>
      </c>
      <c r="H1979" s="121" t="str">
        <f>_xlfn.XLOOKUP(C1979&amp;F1979&amp;I1979&amp;J1979,'[1]2025年已发货'!$F:$F&amp;'[1]2025年已发货'!$C:$C&amp;'[1]2025年已发货'!$G:$G&amp;'[1]2025年已发货'!$H:$H,'[1]2025年已发货'!$E:$E,"未发货")</f>
        <v>未发货</v>
      </c>
      <c r="I1979" s="120" t="str">
        <f>VLOOKUP(B1979,辅助信息!E:I,3,FALSE)</f>
        <v>（商投建工达州中医药科技园-1工区）达州市通川区达州中医药职业学院犀牛大道北段</v>
      </c>
      <c r="J1979" s="120" t="str">
        <f>VLOOKUP(B1979,辅助信息!E:I,4,FALSE)</f>
        <v>程黄刚</v>
      </c>
      <c r="K1979" s="120">
        <f>VLOOKUP(J1979,辅助信息!H:I,2,FALSE)</f>
        <v>15108211617</v>
      </c>
      <c r="L1979" s="122" t="str">
        <f>VLOOKUP(B1979,辅助信息!E:J,6,FALSE)</f>
        <v>控制炉批号！多了现场不收！,优先安排达钢,提前联系到场规格及数量</v>
      </c>
      <c r="M1979" s="91">
        <v>45835</v>
      </c>
      <c r="O1979" s="62">
        <f ca="1" t="shared" si="131"/>
        <v>0</v>
      </c>
      <c r="P1979" s="62">
        <f ca="1" t="shared" si="132"/>
        <v>125</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0">
        <v>45834</v>
      </c>
      <c r="D1980" s="120" t="str">
        <f>VLOOKUP(B1980,辅助信息!E:K,7,FALSE)</f>
        <v>JWDDCD2025052800131</v>
      </c>
      <c r="E1980" s="120" t="str">
        <f>VLOOKUP(F1980,辅助信息!A:B,2,FALSE)</f>
        <v>盘螺</v>
      </c>
      <c r="F1980" s="40" t="s">
        <v>49</v>
      </c>
      <c r="G1980" s="36">
        <v>3</v>
      </c>
      <c r="H1980" s="121" t="str">
        <f>_xlfn.XLOOKUP(C1980&amp;F1980&amp;I1980&amp;J1980,'[1]2025年已发货'!$F:$F&amp;'[1]2025年已发货'!$C:$C&amp;'[1]2025年已发货'!$G:$G&amp;'[1]2025年已发货'!$H:$H,'[1]2025年已发货'!$E:$E,"未发货")</f>
        <v>未发货</v>
      </c>
      <c r="I1980" s="120" t="str">
        <f>VLOOKUP(B1980,辅助信息!E:I,3,FALSE)</f>
        <v>（商投建工达州中医药科技园-1工区）达州市通川区达州中医药职业学院犀牛大道北段</v>
      </c>
      <c r="J1980" s="120" t="str">
        <f>VLOOKUP(B1980,辅助信息!E:I,4,FALSE)</f>
        <v>程黄刚</v>
      </c>
      <c r="K1980" s="120">
        <f>VLOOKUP(J1980,辅助信息!H:I,2,FALSE)</f>
        <v>15108211617</v>
      </c>
      <c r="L1980" s="122" t="str">
        <f>VLOOKUP(B1980,辅助信息!E:J,6,FALSE)</f>
        <v>控制炉批号！多了现场不收！,优先安排达钢,提前联系到场规格及数量</v>
      </c>
      <c r="M1980" s="91">
        <v>45835</v>
      </c>
      <c r="O1980" s="62">
        <f ca="1" t="shared" si="131"/>
        <v>0</v>
      </c>
      <c r="P1980" s="62">
        <f ca="1" t="shared" si="132"/>
        <v>125</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0">
        <v>45834</v>
      </c>
      <c r="D1981" s="120" t="str">
        <f>VLOOKUP(B1981,辅助信息!E:K,7,FALSE)</f>
        <v>JWDDCD2025052800131</v>
      </c>
      <c r="E1981" s="120" t="str">
        <f>VLOOKUP(F1981,辅助信息!A:B,2,FALSE)</f>
        <v>螺纹钢</v>
      </c>
      <c r="F1981" s="40" t="s">
        <v>27</v>
      </c>
      <c r="G1981" s="36">
        <v>12</v>
      </c>
      <c r="H1981" s="121" t="str">
        <f>_xlfn.XLOOKUP(C1981&amp;F1981&amp;I1981&amp;J1981,'[1]2025年已发货'!$F:$F&amp;'[1]2025年已发货'!$C:$C&amp;'[1]2025年已发货'!$G:$G&amp;'[1]2025年已发货'!$H:$H,'[1]2025年已发货'!$E:$E,"未发货")</f>
        <v>未发货</v>
      </c>
      <c r="I1981" s="120" t="str">
        <f>VLOOKUP(B1981,辅助信息!E:I,3,FALSE)</f>
        <v>（商投建工达州中医药科技园-1工区）达州市通川区达州中医药职业学院犀牛大道北段</v>
      </c>
      <c r="J1981" s="120" t="str">
        <f>VLOOKUP(B1981,辅助信息!E:I,4,FALSE)</f>
        <v>程黄刚</v>
      </c>
      <c r="K1981" s="120">
        <f>VLOOKUP(J1981,辅助信息!H:I,2,FALSE)</f>
        <v>15108211617</v>
      </c>
      <c r="L1981" s="122" t="str">
        <f>VLOOKUP(B1981,辅助信息!E:J,6,FALSE)</f>
        <v>控制炉批号！多了现场不收！,优先安排达钢,提前联系到场规格及数量</v>
      </c>
      <c r="M1981" s="91">
        <v>45835</v>
      </c>
      <c r="O1981" s="62">
        <f ca="1" t="shared" si="131"/>
        <v>0</v>
      </c>
      <c r="P1981" s="62">
        <f ca="1" t="shared" si="132"/>
        <v>125</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0">
        <v>45834</v>
      </c>
      <c r="D1982" s="120" t="str">
        <f>VLOOKUP(B1982,辅助信息!E:K,7,FALSE)</f>
        <v>JWDDCD2025052800131</v>
      </c>
      <c r="E1982" s="120" t="str">
        <f>VLOOKUP(F1982,辅助信息!A:B,2,FALSE)</f>
        <v>螺纹钢</v>
      </c>
      <c r="F1982" s="40" t="s">
        <v>19</v>
      </c>
      <c r="G1982" s="36">
        <v>3</v>
      </c>
      <c r="H1982" s="121" t="str">
        <f>_xlfn.XLOOKUP(C1982&amp;F1982&amp;I1982&amp;J1982,'[1]2025年已发货'!$F:$F&amp;'[1]2025年已发货'!$C:$C&amp;'[1]2025年已发货'!$G:$G&amp;'[1]2025年已发货'!$H:$H,'[1]2025年已发货'!$E:$E,"未发货")</f>
        <v>未发货</v>
      </c>
      <c r="I1982" s="120" t="str">
        <f>VLOOKUP(B1982,辅助信息!E:I,3,FALSE)</f>
        <v>（商投建工达州中医药科技园-1工区）达州市通川区达州中医药职业学院犀牛大道北段</v>
      </c>
      <c r="J1982" s="120" t="str">
        <f>VLOOKUP(B1982,辅助信息!E:I,4,FALSE)</f>
        <v>程黄刚</v>
      </c>
      <c r="K1982" s="120">
        <f>VLOOKUP(J1982,辅助信息!H:I,2,FALSE)</f>
        <v>15108211617</v>
      </c>
      <c r="L1982" s="122" t="str">
        <f>VLOOKUP(B1982,辅助信息!E:J,6,FALSE)</f>
        <v>控制炉批号！多了现场不收！,优先安排达钢,提前联系到场规格及数量</v>
      </c>
      <c r="M1982" s="91">
        <v>45835</v>
      </c>
      <c r="O1982" s="62">
        <f ca="1" t="shared" si="131"/>
        <v>0</v>
      </c>
      <c r="P1982" s="62">
        <f ca="1" t="shared" si="132"/>
        <v>125</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0">
        <v>45834</v>
      </c>
      <c r="D1983" s="120" t="str">
        <f>VLOOKUP(B1983,辅助信息!E:K,7,FALSE)</f>
        <v>JWDDCD2025052800131</v>
      </c>
      <c r="E1983" s="120" t="str">
        <f>VLOOKUP(F1983,辅助信息!A:B,2,FALSE)</f>
        <v>螺纹钢</v>
      </c>
      <c r="F1983" s="40" t="s">
        <v>32</v>
      </c>
      <c r="G1983" s="36">
        <v>12</v>
      </c>
      <c r="H1983" s="121" t="str">
        <f>_xlfn.XLOOKUP(C1983&amp;F1983&amp;I1983&amp;J1983,'[1]2025年已发货'!$F:$F&amp;'[1]2025年已发货'!$C:$C&amp;'[1]2025年已发货'!$G:$G&amp;'[1]2025年已发货'!$H:$H,'[1]2025年已发货'!$E:$E,"未发货")</f>
        <v>未发货</v>
      </c>
      <c r="I1983" s="120" t="str">
        <f>VLOOKUP(B1983,辅助信息!E:I,3,FALSE)</f>
        <v>（商投建工达州中医药科技园-1工区）达州市通川区达州中医药职业学院犀牛大道北段</v>
      </c>
      <c r="J1983" s="120" t="str">
        <f>VLOOKUP(B1983,辅助信息!E:I,4,FALSE)</f>
        <v>程黄刚</v>
      </c>
      <c r="K1983" s="120">
        <f>VLOOKUP(J1983,辅助信息!H:I,2,FALSE)</f>
        <v>15108211617</v>
      </c>
      <c r="L1983" s="122" t="str">
        <f>VLOOKUP(B1983,辅助信息!E:J,6,FALSE)</f>
        <v>控制炉批号！多了现场不收！,优先安排达钢,提前联系到场规格及数量</v>
      </c>
      <c r="M1983" s="91">
        <v>45835</v>
      </c>
      <c r="O1983" s="62">
        <f ca="1" t="shared" si="131"/>
        <v>0</v>
      </c>
      <c r="P1983" s="62">
        <f ca="1" t="shared" si="132"/>
        <v>125</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0">
        <v>45834</v>
      </c>
      <c r="D1984" s="120" t="str">
        <f>VLOOKUP(B1984,辅助信息!E:K,7,FALSE)</f>
        <v>JWDDCD2025052800131</v>
      </c>
      <c r="E1984" s="120" t="str">
        <f>VLOOKUP(F1984,辅助信息!A:B,2,FALSE)</f>
        <v>螺纹钢</v>
      </c>
      <c r="F1984" s="40" t="s">
        <v>45</v>
      </c>
      <c r="G1984" s="36">
        <v>3</v>
      </c>
      <c r="H1984" s="121" t="str">
        <f>_xlfn.XLOOKUP(C1984&amp;F1984&amp;I1984&amp;J1984,'[1]2025年已发货'!$F:$F&amp;'[1]2025年已发货'!$C:$C&amp;'[1]2025年已发货'!$G:$G&amp;'[1]2025年已发货'!$H:$H,'[1]2025年已发货'!$E:$E,"未发货")</f>
        <v>未发货</v>
      </c>
      <c r="I1984" s="120" t="str">
        <f>VLOOKUP(B1984,辅助信息!E:I,3,FALSE)</f>
        <v>（商投建工达州中医药科技园-1工区）达州市通川区达州中医药职业学院犀牛大道北段</v>
      </c>
      <c r="J1984" s="120" t="str">
        <f>VLOOKUP(B1984,辅助信息!E:I,4,FALSE)</f>
        <v>程黄刚</v>
      </c>
      <c r="K1984" s="120">
        <f>VLOOKUP(J1984,辅助信息!H:I,2,FALSE)</f>
        <v>15108211617</v>
      </c>
      <c r="L1984" s="122" t="str">
        <f>VLOOKUP(B1984,辅助信息!E:J,6,FALSE)</f>
        <v>控制炉批号！多了现场不收！,优先安排达钢,提前联系到场规格及数量</v>
      </c>
      <c r="M1984" s="91">
        <v>45835</v>
      </c>
      <c r="O1984" s="62">
        <f ca="1" t="shared" si="131"/>
        <v>0</v>
      </c>
      <c r="P1984" s="62">
        <f ca="1" t="shared" si="132"/>
        <v>125</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0">
        <v>45834</v>
      </c>
      <c r="D1985" s="120" t="str">
        <f>VLOOKUP(B1985,辅助信息!E:K,7,FALSE)</f>
        <v>JWDDCD2025052800131</v>
      </c>
      <c r="E1985" s="120" t="str">
        <f>VLOOKUP(F1985,辅助信息!A:B,2,FALSE)</f>
        <v>螺纹钢</v>
      </c>
      <c r="F1985" s="40" t="s">
        <v>46</v>
      </c>
      <c r="G1985" s="36">
        <v>18</v>
      </c>
      <c r="H1985" s="121" t="str">
        <f>_xlfn.XLOOKUP(C1985&amp;F1985&amp;I1985&amp;J1985,'[1]2025年已发货'!$F:$F&amp;'[1]2025年已发货'!$C:$C&amp;'[1]2025年已发货'!$G:$G&amp;'[1]2025年已发货'!$H:$H,'[1]2025年已发货'!$E:$E,"未发货")</f>
        <v>未发货</v>
      </c>
      <c r="I1985" s="120" t="str">
        <f>VLOOKUP(B1985,辅助信息!E:I,3,FALSE)</f>
        <v>（商投建工达州中医药科技园-1工区）达州市通川区达州中医药职业学院犀牛大道北段</v>
      </c>
      <c r="J1985" s="120" t="str">
        <f>VLOOKUP(B1985,辅助信息!E:I,4,FALSE)</f>
        <v>程黄刚</v>
      </c>
      <c r="K1985" s="120">
        <f>VLOOKUP(J1985,辅助信息!H:I,2,FALSE)</f>
        <v>15108211617</v>
      </c>
      <c r="L1985" s="122" t="str">
        <f>VLOOKUP(B1985,辅助信息!E:J,6,FALSE)</f>
        <v>控制炉批号！多了现场不收！,优先安排达钢,提前联系到场规格及数量</v>
      </c>
      <c r="M1985" s="91">
        <v>45835</v>
      </c>
      <c r="O1985" s="62">
        <f ca="1" t="shared" si="131"/>
        <v>0</v>
      </c>
      <c r="P1985" s="62">
        <f ca="1" t="shared" si="132"/>
        <v>125</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0">
        <v>45834</v>
      </c>
      <c r="D1986" s="120" t="str">
        <f>VLOOKUP(B1986,辅助信息!E:K,7,FALSE)</f>
        <v>JWDDCD2025052800131</v>
      </c>
      <c r="E1986" s="120" t="str">
        <f>VLOOKUP(F1986,辅助信息!A:B,2,FALSE)</f>
        <v>螺纹钢</v>
      </c>
      <c r="F1986" s="40" t="s">
        <v>22</v>
      </c>
      <c r="G1986" s="36">
        <v>9</v>
      </c>
      <c r="H1986" s="121" t="str">
        <f>_xlfn.XLOOKUP(C1986&amp;F1986&amp;I1986&amp;J1986,'[1]2025年已发货'!$F:$F&amp;'[1]2025年已发货'!$C:$C&amp;'[1]2025年已发货'!$G:$G&amp;'[1]2025年已发货'!$H:$H,'[1]2025年已发货'!$E:$E,"未发货")</f>
        <v>未发货</v>
      </c>
      <c r="I1986" s="120" t="str">
        <f>VLOOKUP(B1986,辅助信息!E:I,3,FALSE)</f>
        <v>（商投建工达州中医药科技园-1工区）达州市通川区达州中医药职业学院犀牛大道北段</v>
      </c>
      <c r="J1986" s="120" t="str">
        <f>VLOOKUP(B1986,辅助信息!E:I,4,FALSE)</f>
        <v>程黄刚</v>
      </c>
      <c r="K1986" s="120">
        <f>VLOOKUP(J1986,辅助信息!H:I,2,FALSE)</f>
        <v>15108211617</v>
      </c>
      <c r="L1986" s="122" t="str">
        <f>VLOOKUP(B1986,辅助信息!E:J,6,FALSE)</f>
        <v>控制炉批号！多了现场不收！,优先安排达钢,提前联系到场规格及数量</v>
      </c>
      <c r="M1986" s="91">
        <v>45835</v>
      </c>
      <c r="O1986" s="62">
        <f ca="1" t="shared" si="131"/>
        <v>0</v>
      </c>
      <c r="P1986" s="62">
        <f ca="1" t="shared" si="132"/>
        <v>125</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0" t="s">
        <v>176</v>
      </c>
      <c r="C1987" s="70">
        <v>45834</v>
      </c>
      <c r="D1987" s="120" t="str">
        <f>VLOOKUP(B1987,辅助信息!E:K,7,FALSE)</f>
        <v>JWDDCD2025062200016</v>
      </c>
      <c r="E1987" s="120" t="str">
        <f>VLOOKUP(F1987,辅助信息!A:B,2,FALSE)</f>
        <v>高线</v>
      </c>
      <c r="F1987" s="120" t="s">
        <v>53</v>
      </c>
      <c r="G1987" s="121">
        <v>2.5</v>
      </c>
      <c r="H1987" s="121" t="str">
        <f>_xlfn.XLOOKUP(C1987&amp;F1987&amp;I1987&amp;J1987,'[1]2025年已发货'!$F:$F&amp;'[1]2025年已发货'!$C:$C&amp;'[1]2025年已发货'!$G:$G&amp;'[1]2025年已发货'!$H:$H,'[1]2025年已发货'!$E:$E,"未发货")</f>
        <v>未发货</v>
      </c>
      <c r="I1987" s="120" t="str">
        <f>VLOOKUP(B1987,辅助信息!E:I,3,FALSE)</f>
        <v>(武汉电气化局成达万高铁强电项目-渠县)四川省达州市渠县渠北镇雷家湾渠县北站旁</v>
      </c>
      <c r="J1987" s="120" t="str">
        <f>VLOOKUP(B1987,辅助信息!E:I,4,FALSE)</f>
        <v>刘频</v>
      </c>
      <c r="K1987" s="120">
        <f>VLOOKUP(J1987,辅助信息!H:I,2,FALSE)</f>
        <v>18779627939</v>
      </c>
      <c r="L1987" s="122" t="str">
        <f>VLOOKUP(B1987,辅助信息!E:J,6,FALSE)</f>
        <v>锈货不收！！下雨天钢筋没盖篷布不收！！，装货前联系收货人核实到场规格,没提前告知进场规格现场不给予接收</v>
      </c>
      <c r="M1987" s="91">
        <v>45831</v>
      </c>
      <c r="O1987" s="62">
        <f ca="1" t="shared" si="131"/>
        <v>0</v>
      </c>
      <c r="P1987" s="62">
        <f ca="1" t="shared" si="132"/>
        <v>129</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0" t="s">
        <v>176</v>
      </c>
      <c r="C1988" s="70">
        <v>45834</v>
      </c>
      <c r="D1988" s="120" t="str">
        <f>VLOOKUP(B1988,辅助信息!E:K,7,FALSE)</f>
        <v>JWDDCD2025062200016</v>
      </c>
      <c r="E1988" s="120" t="str">
        <f>VLOOKUP(F1988,辅助信息!A:B,2,FALSE)</f>
        <v>螺纹钢</v>
      </c>
      <c r="F1988" s="120" t="s">
        <v>111</v>
      </c>
      <c r="G1988" s="121">
        <v>5</v>
      </c>
      <c r="H1988" s="121" t="str">
        <f>_xlfn.XLOOKUP(C1988&amp;F1988&amp;I1988&amp;J1988,'[1]2025年已发货'!$F:$F&amp;'[1]2025年已发货'!$C:$C&amp;'[1]2025年已发货'!$G:$G&amp;'[1]2025年已发货'!$H:$H,'[1]2025年已发货'!$E:$E,"未发货")</f>
        <v>未发货</v>
      </c>
      <c r="I1988" s="120" t="str">
        <f>VLOOKUP(B1988,辅助信息!E:I,3,FALSE)</f>
        <v>(武汉电气化局成达万高铁强电项目-渠县)四川省达州市渠县渠北镇雷家湾渠县北站旁</v>
      </c>
      <c r="J1988" s="120" t="str">
        <f>VLOOKUP(B1988,辅助信息!E:I,4,FALSE)</f>
        <v>刘频</v>
      </c>
      <c r="K1988" s="120">
        <f>VLOOKUP(J1988,辅助信息!H:I,2,FALSE)</f>
        <v>18779627939</v>
      </c>
      <c r="L1988" s="122" t="str">
        <f>VLOOKUP(B1988,辅助信息!E:J,6,FALSE)</f>
        <v>锈货不收！！下雨天钢筋没盖篷布不收！！，装货前联系收货人核实到场规格,没提前告知进场规格现场不给予接收</v>
      </c>
      <c r="M1988" s="91">
        <v>45831</v>
      </c>
      <c r="O1988" s="62">
        <f ca="1" t="shared" si="131"/>
        <v>0</v>
      </c>
      <c r="P1988" s="62">
        <f ca="1" t="shared" si="132"/>
        <v>129</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0" t="s">
        <v>176</v>
      </c>
      <c r="C1989" s="70">
        <v>45834</v>
      </c>
      <c r="D1989" s="120" t="str">
        <f>VLOOKUP(B1989,辅助信息!E:K,7,FALSE)</f>
        <v>JWDDCD2025062200016</v>
      </c>
      <c r="E1989" s="120" t="str">
        <f>VLOOKUP(F1989,辅助信息!A:B,2,FALSE)</f>
        <v>螺纹钢</v>
      </c>
      <c r="F1989" s="120" t="s">
        <v>76</v>
      </c>
      <c r="G1989" s="121">
        <f>24-5</f>
        <v>19</v>
      </c>
      <c r="H1989" s="121" t="str">
        <f>_xlfn.XLOOKUP(C1989&amp;F1989&amp;I1989&amp;J1989,'[1]2025年已发货'!$F:$F&amp;'[1]2025年已发货'!$C:$C&amp;'[1]2025年已发货'!$G:$G&amp;'[1]2025年已发货'!$H:$H,'[1]2025年已发货'!$E:$E,"未发货")</f>
        <v>未发货</v>
      </c>
      <c r="I1989" s="120" t="str">
        <f>VLOOKUP(B1989,辅助信息!E:I,3,FALSE)</f>
        <v>(武汉电气化局成达万高铁强电项目-渠县)四川省达州市渠县渠北镇雷家湾渠县北站旁</v>
      </c>
      <c r="J1989" s="120" t="str">
        <f>VLOOKUP(B1989,辅助信息!E:I,4,FALSE)</f>
        <v>刘频</v>
      </c>
      <c r="K1989" s="120">
        <f>VLOOKUP(J1989,辅助信息!H:I,2,FALSE)</f>
        <v>18779627939</v>
      </c>
      <c r="L1989" s="122" t="str">
        <f>VLOOKUP(B1989,辅助信息!E:J,6,FALSE)</f>
        <v>锈货不收！！下雨天钢筋没盖篷布不收！！，装货前联系收货人核实到场规格,没提前告知进场规格现场不给予接收</v>
      </c>
      <c r="M1989" s="91">
        <v>45831</v>
      </c>
      <c r="O1989" s="62">
        <f ca="1" t="shared" si="131"/>
        <v>0</v>
      </c>
      <c r="P1989" s="62">
        <f ca="1" t="shared" si="132"/>
        <v>129</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0">
        <v>45834</v>
      </c>
      <c r="D1990" s="120" t="str">
        <f>VLOOKUP(B1990,辅助信息!E:K,7,FALSE)</f>
        <v>JWDDCD2025102100473</v>
      </c>
      <c r="E1990" s="120" t="str">
        <f>VLOOKUP(F1990,辅助信息!A:B,2,FALSE)</f>
        <v>高线</v>
      </c>
      <c r="F1990" s="40" t="s">
        <v>53</v>
      </c>
      <c r="G1990" s="36">
        <v>2.5</v>
      </c>
      <c r="H1990" s="121">
        <f>_xlfn.XLOOKUP(C1990&amp;F1990&amp;I1990&amp;J1990,'[1]2025年已发货'!$F:$F&amp;'[1]2025年已发货'!$C:$C&amp;'[1]2025年已发货'!$G:$G&amp;'[1]2025年已发货'!$H:$H,'[1]2025年已发货'!$E:$E,"未发货")</f>
        <v>2.5</v>
      </c>
      <c r="I1990" s="120" t="str">
        <f>VLOOKUP(B1990,辅助信息!E:I,3,FALSE)</f>
        <v>(五冶建设扩建艺体中学二期工程)四川省成都市双流区光荣路成都艺体中学南200米</v>
      </c>
      <c r="J1990" s="120" t="str">
        <f>VLOOKUP(B1990,辅助信息!E:I,4,FALSE)</f>
        <v>谢序强</v>
      </c>
      <c r="K1990" s="120">
        <f>VLOOKUP(J1990,辅助信息!H:I,2,FALSE)</f>
        <v>13458588232</v>
      </c>
      <c r="L1990" s="122"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1">
        <v>45831</v>
      </c>
      <c r="O1990" s="62">
        <f ca="1" t="shared" ref="O1990:O2032" si="133">IF(OR(M1990="",N1990&lt;&gt;""),"",MAX(M1990-TODAY(),0))</f>
        <v>0</v>
      </c>
      <c r="P1990" s="62">
        <f ca="1" t="shared" ref="P1990:P2032" si="134">IF(M1990="","",IF(N1990&lt;&gt;"",MAX(N1990-M1990,0),IF(TODAY()&gt;M1990,TODAY()-M1990,0)))</f>
        <v>129</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0">
        <v>45834</v>
      </c>
      <c r="D1991" s="120" t="str">
        <f>VLOOKUP(B1991,辅助信息!E:K,7,FALSE)</f>
        <v>JWDDCD2025102100473</v>
      </c>
      <c r="E1991" s="120" t="str">
        <f>VLOOKUP(F1991,辅助信息!A:B,2,FALSE)</f>
        <v>高线</v>
      </c>
      <c r="F1991" s="40" t="s">
        <v>51</v>
      </c>
      <c r="G1991" s="36">
        <v>2.5</v>
      </c>
      <c r="H1991" s="121">
        <f>_xlfn.XLOOKUP(C1991&amp;F1991&amp;I1991&amp;J1991,'[1]2025年已发货'!$F:$F&amp;'[1]2025年已发货'!$C:$C&amp;'[1]2025年已发货'!$G:$G&amp;'[1]2025年已发货'!$H:$H,'[1]2025年已发货'!$E:$E,"未发货")</f>
        <v>2.5</v>
      </c>
      <c r="I1991" s="120" t="str">
        <f>VLOOKUP(B1991,辅助信息!E:I,3,FALSE)</f>
        <v>(五冶建设扩建艺体中学二期工程)四川省成都市双流区光荣路成都艺体中学南200米</v>
      </c>
      <c r="J1991" s="120" t="str">
        <f>VLOOKUP(B1991,辅助信息!E:I,4,FALSE)</f>
        <v>谢序强</v>
      </c>
      <c r="K1991" s="120">
        <f>VLOOKUP(J1991,辅助信息!H:I,2,FALSE)</f>
        <v>13458588232</v>
      </c>
      <c r="L1991" s="122"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1">
        <v>45831</v>
      </c>
      <c r="O1991" s="62">
        <f ca="1" t="shared" si="133"/>
        <v>0</v>
      </c>
      <c r="P1991" s="62">
        <f ca="1" t="shared" si="134"/>
        <v>129</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0">
        <v>45834</v>
      </c>
      <c r="D1992" s="120" t="str">
        <f>VLOOKUP(B1992,辅助信息!E:K,7,FALSE)</f>
        <v>JWDDCD2025102100473</v>
      </c>
      <c r="E1992" s="120" t="str">
        <f>VLOOKUP(F1992,辅助信息!A:B,2,FALSE)</f>
        <v>盘螺</v>
      </c>
      <c r="F1992" s="40" t="s">
        <v>49</v>
      </c>
      <c r="G1992" s="36">
        <v>2.5</v>
      </c>
      <c r="H1992" s="121">
        <f>_xlfn.XLOOKUP(C1992&amp;F1992&amp;I1992&amp;J1992,'[1]2025年已发货'!$F:$F&amp;'[1]2025年已发货'!$C:$C&amp;'[1]2025年已发货'!$G:$G&amp;'[1]2025年已发货'!$H:$H,'[1]2025年已发货'!$E:$E,"未发货")</f>
        <v>2.5</v>
      </c>
      <c r="I1992" s="120" t="str">
        <f>VLOOKUP(B1992,辅助信息!E:I,3,FALSE)</f>
        <v>(五冶建设扩建艺体中学二期工程)四川省成都市双流区光荣路成都艺体中学南200米</v>
      </c>
      <c r="J1992" s="120" t="str">
        <f>VLOOKUP(B1992,辅助信息!E:I,4,FALSE)</f>
        <v>谢序强</v>
      </c>
      <c r="K1992" s="120">
        <f>VLOOKUP(J1992,辅助信息!H:I,2,FALSE)</f>
        <v>13458588232</v>
      </c>
      <c r="L1992" s="122"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1">
        <v>45831</v>
      </c>
      <c r="O1992" s="62">
        <f ca="1" t="shared" si="133"/>
        <v>0</v>
      </c>
      <c r="P1992" s="62">
        <f ca="1" t="shared" si="134"/>
        <v>129</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0">
        <v>45834</v>
      </c>
      <c r="D1993" s="120" t="str">
        <f>VLOOKUP(B1993,辅助信息!E:K,7,FALSE)</f>
        <v>JWDDCD2025102100473</v>
      </c>
      <c r="E1993" s="120" t="str">
        <f>VLOOKUP(F1993,辅助信息!A:B,2,FALSE)</f>
        <v>盘螺</v>
      </c>
      <c r="F1993" s="40" t="s">
        <v>40</v>
      </c>
      <c r="G1993" s="36">
        <v>5</v>
      </c>
      <c r="H1993" s="121" t="str">
        <f>_xlfn.XLOOKUP(C1993&amp;F1993&amp;I1993&amp;J1993,'[1]2025年已发货'!$F:$F&amp;'[1]2025年已发货'!$C:$C&amp;'[1]2025年已发货'!$G:$G&amp;'[1]2025年已发货'!$H:$H,'[1]2025年已发货'!$E:$E,"未发货")</f>
        <v>未发货</v>
      </c>
      <c r="I1993" s="120" t="str">
        <f>VLOOKUP(B1993,辅助信息!E:I,3,FALSE)</f>
        <v>(五冶建设扩建艺体中学二期工程)四川省成都市双流区光荣路成都艺体中学南200米</v>
      </c>
      <c r="J1993" s="120" t="str">
        <f>VLOOKUP(B1993,辅助信息!E:I,4,FALSE)</f>
        <v>谢序强</v>
      </c>
      <c r="K1993" s="120">
        <f>VLOOKUP(J1993,辅助信息!H:I,2,FALSE)</f>
        <v>13458588232</v>
      </c>
      <c r="L1993" s="122"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1">
        <v>45831</v>
      </c>
      <c r="O1993" s="62">
        <f ca="1" t="shared" si="133"/>
        <v>0</v>
      </c>
      <c r="P1993" s="62">
        <f ca="1" t="shared" si="134"/>
        <v>129</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0">
        <v>45834</v>
      </c>
      <c r="D1994" s="120" t="str">
        <f>VLOOKUP(B1994,辅助信息!E:K,7,FALSE)</f>
        <v>JWDDCD2025102100473</v>
      </c>
      <c r="E1994" s="120" t="str">
        <f>VLOOKUP(F1994,辅助信息!A:B,2,FALSE)</f>
        <v>盘螺</v>
      </c>
      <c r="F1994" s="40" t="s">
        <v>41</v>
      </c>
      <c r="G1994" s="36">
        <v>10</v>
      </c>
      <c r="H1994" s="121" t="str">
        <f>_xlfn.XLOOKUP(C1994&amp;F1994&amp;I1994&amp;J1994,'[1]2025年已发货'!$F:$F&amp;'[1]2025年已发货'!$C:$C&amp;'[1]2025年已发货'!$G:$G&amp;'[1]2025年已发货'!$H:$H,'[1]2025年已发货'!$E:$E,"未发货")</f>
        <v>未发货</v>
      </c>
      <c r="I1994" s="120" t="str">
        <f>VLOOKUP(B1994,辅助信息!E:I,3,FALSE)</f>
        <v>(五冶建设扩建艺体中学二期工程)四川省成都市双流区光荣路成都艺体中学南200米</v>
      </c>
      <c r="J1994" s="120" t="str">
        <f>VLOOKUP(B1994,辅助信息!E:I,4,FALSE)</f>
        <v>谢序强</v>
      </c>
      <c r="K1994" s="120">
        <f>VLOOKUP(J1994,辅助信息!H:I,2,FALSE)</f>
        <v>13458588232</v>
      </c>
      <c r="L1994" s="122"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1">
        <v>45831</v>
      </c>
      <c r="O1994" s="62">
        <f ca="1" t="shared" si="133"/>
        <v>0</v>
      </c>
      <c r="P1994" s="62">
        <f ca="1" t="shared" si="134"/>
        <v>129</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0">
        <v>45834</v>
      </c>
      <c r="D1995" s="120" t="str">
        <f>VLOOKUP(B1995,辅助信息!E:K,7,FALSE)</f>
        <v>JWDDCD2025102100473</v>
      </c>
      <c r="E1995" s="120" t="str">
        <f>VLOOKUP(F1995,辅助信息!A:B,2,FALSE)</f>
        <v>螺纹钢</v>
      </c>
      <c r="F1995" s="40" t="s">
        <v>27</v>
      </c>
      <c r="G1995" s="36">
        <v>30</v>
      </c>
      <c r="H1995" s="121">
        <v>28</v>
      </c>
      <c r="I1995" s="120" t="str">
        <f>VLOOKUP(B1995,辅助信息!E:I,3,FALSE)</f>
        <v>(五冶建设扩建艺体中学二期工程)四川省成都市双流区光荣路成都艺体中学南200米</v>
      </c>
      <c r="J1995" s="120" t="str">
        <f>VLOOKUP(B1995,辅助信息!E:I,4,FALSE)</f>
        <v>谢序强</v>
      </c>
      <c r="K1995" s="120">
        <f>VLOOKUP(J1995,辅助信息!H:I,2,FALSE)</f>
        <v>13458588232</v>
      </c>
      <c r="L1995" s="122"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1">
        <v>45831</v>
      </c>
      <c r="O1995" s="62">
        <f ca="1" t="shared" si="133"/>
        <v>0</v>
      </c>
      <c r="P1995" s="62">
        <f ca="1" t="shared" si="134"/>
        <v>129</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0">
        <v>45834</v>
      </c>
      <c r="D1996" s="120" t="str">
        <f>VLOOKUP(B1996,辅助信息!E:K,7,FALSE)</f>
        <v>JWDDCD2025102100473</v>
      </c>
      <c r="E1996" s="120" t="str">
        <f>VLOOKUP(F1996,辅助信息!A:B,2,FALSE)</f>
        <v>螺纹钢</v>
      </c>
      <c r="F1996" s="40" t="s">
        <v>19</v>
      </c>
      <c r="G1996" s="36">
        <v>33</v>
      </c>
      <c r="H1996" s="121" t="str">
        <f>_xlfn.XLOOKUP(C1996&amp;F1996&amp;I1996&amp;J1996,'[1]2025年已发货'!$F:$F&amp;'[1]2025年已发货'!$C:$C&amp;'[1]2025年已发货'!$G:$G&amp;'[1]2025年已发货'!$H:$H,'[1]2025年已发货'!$E:$E,"未发货")</f>
        <v>未发货</v>
      </c>
      <c r="I1996" s="120" t="str">
        <f>VLOOKUP(B1996,辅助信息!E:I,3,FALSE)</f>
        <v>(五冶建设扩建艺体中学二期工程)四川省成都市双流区光荣路成都艺体中学南200米</v>
      </c>
      <c r="J1996" s="120" t="str">
        <f>VLOOKUP(B1996,辅助信息!E:I,4,FALSE)</f>
        <v>谢序强</v>
      </c>
      <c r="K1996" s="120">
        <f>VLOOKUP(J1996,辅助信息!H:I,2,FALSE)</f>
        <v>13458588232</v>
      </c>
      <c r="L1996" s="122"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1">
        <v>45831</v>
      </c>
      <c r="O1996" s="62">
        <f ca="1" t="shared" si="133"/>
        <v>0</v>
      </c>
      <c r="P1996" s="62">
        <f ca="1" t="shared" si="134"/>
        <v>129</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0">
        <v>45834</v>
      </c>
      <c r="D1997" s="120" t="str">
        <f>VLOOKUP(B1997,辅助信息!E:K,7,FALSE)</f>
        <v>JWDDCD2025102100473</v>
      </c>
      <c r="E1997" s="120" t="str">
        <f>VLOOKUP(F1997,辅助信息!A:B,2,FALSE)</f>
        <v>螺纹钢</v>
      </c>
      <c r="F1997" s="40" t="s">
        <v>32</v>
      </c>
      <c r="G1997" s="36">
        <v>24</v>
      </c>
      <c r="H1997" s="121" t="str">
        <f>_xlfn.XLOOKUP(C1997&amp;F1997&amp;I1997&amp;J1997,'[1]2025年已发货'!$F:$F&amp;'[1]2025年已发货'!$C:$C&amp;'[1]2025年已发货'!$G:$G&amp;'[1]2025年已发货'!$H:$H,'[1]2025年已发货'!$E:$E,"未发货")</f>
        <v>未发货</v>
      </c>
      <c r="I1997" s="120" t="str">
        <f>VLOOKUP(B1997,辅助信息!E:I,3,FALSE)</f>
        <v>(五冶建设扩建艺体中学二期工程)四川省成都市双流区光荣路成都艺体中学南200米</v>
      </c>
      <c r="J1997" s="120" t="str">
        <f>VLOOKUP(B1997,辅助信息!E:I,4,FALSE)</f>
        <v>谢序强</v>
      </c>
      <c r="K1997" s="120">
        <f>VLOOKUP(J1997,辅助信息!H:I,2,FALSE)</f>
        <v>13458588232</v>
      </c>
      <c r="L1997" s="122"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1">
        <v>45831</v>
      </c>
      <c r="O1997" s="62">
        <f ca="1" t="shared" si="133"/>
        <v>0</v>
      </c>
      <c r="P1997" s="62">
        <f ca="1" t="shared" si="134"/>
        <v>129</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0">
        <v>45834</v>
      </c>
      <c r="D1998" s="120" t="str">
        <f>VLOOKUP(B1998,辅助信息!E:K,7,FALSE)</f>
        <v>JWDDCD2025102100473</v>
      </c>
      <c r="E1998" s="120" t="str">
        <f>VLOOKUP(F1998,辅助信息!A:B,2,FALSE)</f>
        <v>螺纹钢</v>
      </c>
      <c r="F1998" s="40" t="s">
        <v>30</v>
      </c>
      <c r="G1998" s="36">
        <v>21</v>
      </c>
      <c r="H1998" s="121">
        <f>_xlfn.XLOOKUP(C1998&amp;F1998&amp;I1998&amp;J1998,'[1]2025年已发货'!$F:$F&amp;'[1]2025年已发货'!$C:$C&amp;'[1]2025年已发货'!$G:$G&amp;'[1]2025年已发货'!$H:$H,'[1]2025年已发货'!$E:$E,"未发货")</f>
        <v>15</v>
      </c>
      <c r="I1998" s="120" t="str">
        <f>VLOOKUP(B1998,辅助信息!E:I,3,FALSE)</f>
        <v>(五冶建设扩建艺体中学二期工程)四川省成都市双流区光荣路成都艺体中学南200米</v>
      </c>
      <c r="J1998" s="120" t="str">
        <f>VLOOKUP(B1998,辅助信息!E:I,4,FALSE)</f>
        <v>谢序强</v>
      </c>
      <c r="K1998" s="120">
        <f>VLOOKUP(J1998,辅助信息!H:I,2,FALSE)</f>
        <v>13458588232</v>
      </c>
      <c r="L1998" s="122"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1">
        <v>45831</v>
      </c>
      <c r="O1998" s="62">
        <f ca="1" t="shared" si="133"/>
        <v>0</v>
      </c>
      <c r="P1998" s="62">
        <f ca="1" t="shared" si="134"/>
        <v>129</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0">
        <v>45834</v>
      </c>
      <c r="D1999" s="120" t="str">
        <f>VLOOKUP(B1999,辅助信息!E:K,7,FALSE)</f>
        <v>JWDDCD2025102100473</v>
      </c>
      <c r="E1999" s="120" t="str">
        <f>VLOOKUP(F1999,辅助信息!A:B,2,FALSE)</f>
        <v>螺纹钢</v>
      </c>
      <c r="F1999" s="40" t="s">
        <v>33</v>
      </c>
      <c r="G1999" s="36">
        <v>15</v>
      </c>
      <c r="H1999" s="121" t="str">
        <f>_xlfn.XLOOKUP(C1999&amp;F1999&amp;I1999&amp;J1999,'[1]2025年已发货'!$F:$F&amp;'[1]2025年已发货'!$C:$C&amp;'[1]2025年已发货'!$G:$G&amp;'[1]2025年已发货'!$H:$H,'[1]2025年已发货'!$E:$E,"未发货")</f>
        <v>未发货</v>
      </c>
      <c r="I1999" s="120" t="str">
        <f>VLOOKUP(B1999,辅助信息!E:I,3,FALSE)</f>
        <v>(五冶建设扩建艺体中学二期工程)四川省成都市双流区光荣路成都艺体中学南200米</v>
      </c>
      <c r="J1999" s="120" t="str">
        <f>VLOOKUP(B1999,辅助信息!E:I,4,FALSE)</f>
        <v>谢序强</v>
      </c>
      <c r="K1999" s="120">
        <f>VLOOKUP(J1999,辅助信息!H:I,2,FALSE)</f>
        <v>13458588232</v>
      </c>
      <c r="L1999" s="122"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1">
        <v>45831</v>
      </c>
      <c r="O1999" s="62">
        <f ca="1" t="shared" si="133"/>
        <v>0</v>
      </c>
      <c r="P1999" s="62">
        <f ca="1" t="shared" si="134"/>
        <v>129</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0">
        <v>45834</v>
      </c>
      <c r="D2000" s="120" t="str">
        <f>VLOOKUP(B2000,辅助信息!E:K,7,FALSE)</f>
        <v>JWDDCD2025102100473</v>
      </c>
      <c r="E2000" s="120" t="str">
        <f>VLOOKUP(F2000,辅助信息!A:B,2,FALSE)</f>
        <v>螺纹钢</v>
      </c>
      <c r="F2000" s="40" t="s">
        <v>28</v>
      </c>
      <c r="G2000" s="36">
        <v>15</v>
      </c>
      <c r="H2000" s="121" t="str">
        <f>_xlfn.XLOOKUP(C2000&amp;F2000&amp;I2000&amp;J2000,'[1]2025年已发货'!$F:$F&amp;'[1]2025年已发货'!$C:$C&amp;'[1]2025年已发货'!$G:$G&amp;'[1]2025年已发货'!$H:$H,'[1]2025年已发货'!$E:$E,"未发货")</f>
        <v>未发货</v>
      </c>
      <c r="I2000" s="120" t="str">
        <f>VLOOKUP(B2000,辅助信息!E:I,3,FALSE)</f>
        <v>(五冶建设扩建艺体中学二期工程)四川省成都市双流区光荣路成都艺体中学南200米</v>
      </c>
      <c r="J2000" s="120" t="str">
        <f>VLOOKUP(B2000,辅助信息!E:I,4,FALSE)</f>
        <v>谢序强</v>
      </c>
      <c r="K2000" s="120">
        <f>VLOOKUP(J2000,辅助信息!H:I,2,FALSE)</f>
        <v>13458588232</v>
      </c>
      <c r="L2000" s="122"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1">
        <v>45831</v>
      </c>
      <c r="O2000" s="62">
        <f ca="1" t="shared" si="133"/>
        <v>0</v>
      </c>
      <c r="P2000" s="62">
        <f ca="1" t="shared" si="134"/>
        <v>129</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0">
        <v>45834</v>
      </c>
      <c r="D2001" s="120" t="str">
        <f>VLOOKUP(B2001,辅助信息!E:K,7,FALSE)</f>
        <v>JWDDCD2025102100473</v>
      </c>
      <c r="E2001" s="120" t="str">
        <f>VLOOKUP(F2001,辅助信息!A:B,2,FALSE)</f>
        <v>螺纹钢</v>
      </c>
      <c r="F2001" s="40" t="s">
        <v>18</v>
      </c>
      <c r="G2001" s="36">
        <v>9</v>
      </c>
      <c r="H2001" s="121">
        <f>_xlfn.XLOOKUP(C2001&amp;F2001&amp;I2001&amp;J2001,'[1]2025年已发货'!$F:$F&amp;'[1]2025年已发货'!$C:$C&amp;'[1]2025年已发货'!$G:$G&amp;'[1]2025年已发货'!$H:$H,'[1]2025年已发货'!$E:$E,"未发货")</f>
        <v>9</v>
      </c>
      <c r="I2001" s="120" t="str">
        <f>VLOOKUP(B2001,辅助信息!E:I,3,FALSE)</f>
        <v>(五冶建设扩建艺体中学二期工程)四川省成都市双流区光荣路成都艺体中学南200米</v>
      </c>
      <c r="J2001" s="120" t="str">
        <f>VLOOKUP(B2001,辅助信息!E:I,4,FALSE)</f>
        <v>谢序强</v>
      </c>
      <c r="K2001" s="120">
        <f>VLOOKUP(J2001,辅助信息!H:I,2,FALSE)</f>
        <v>13458588232</v>
      </c>
      <c r="L2001" s="122"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1">
        <v>45831</v>
      </c>
      <c r="O2001" s="62">
        <f ca="1" t="shared" si="133"/>
        <v>0</v>
      </c>
      <c r="P2001" s="62">
        <f ca="1" t="shared" si="134"/>
        <v>129</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0">
        <v>45834</v>
      </c>
      <c r="D2002" s="120" t="str">
        <f>VLOOKUP(B2002,辅助信息!E:K,7,FALSE)</f>
        <v>JWDDCD2025102100473</v>
      </c>
      <c r="E2002" s="120" t="str">
        <f>VLOOKUP(F2002,辅助信息!A:B,2,FALSE)</f>
        <v>螺纹钢</v>
      </c>
      <c r="F2002" s="40" t="s">
        <v>82</v>
      </c>
      <c r="G2002" s="36">
        <v>6</v>
      </c>
      <c r="H2002" s="121">
        <f>_xlfn.XLOOKUP(C2002&amp;F2002&amp;I2002&amp;J2002,'[1]2025年已发货'!$F:$F&amp;'[1]2025年已发货'!$C:$C&amp;'[1]2025年已发货'!$G:$G&amp;'[1]2025年已发货'!$H:$H,'[1]2025年已发货'!$E:$E,"未发货")</f>
        <v>6</v>
      </c>
      <c r="I2002" s="120" t="str">
        <f>VLOOKUP(B2002,辅助信息!E:I,3,FALSE)</f>
        <v>(五冶建设扩建艺体中学二期工程)四川省成都市双流区光荣路成都艺体中学南200米</v>
      </c>
      <c r="J2002" s="120" t="str">
        <f>VLOOKUP(B2002,辅助信息!E:I,4,FALSE)</f>
        <v>谢序强</v>
      </c>
      <c r="K2002" s="120">
        <f>VLOOKUP(J2002,辅助信息!H:I,2,FALSE)</f>
        <v>13458588232</v>
      </c>
      <c r="L2002" s="122"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1">
        <v>45831</v>
      </c>
      <c r="O2002" s="62">
        <f ca="1" t="shared" si="133"/>
        <v>0</v>
      </c>
      <c r="P2002" s="62">
        <f ca="1" t="shared" si="134"/>
        <v>129</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0">
        <v>45834</v>
      </c>
      <c r="D2003" s="120" t="str">
        <f>VLOOKUP(B2003,辅助信息!E:K,7,FALSE)</f>
        <v>JWDDCD2025102100473</v>
      </c>
      <c r="E2003" s="120" t="str">
        <f>VLOOKUP(F2003,辅助信息!A:B,2,FALSE)</f>
        <v>螺纹钢</v>
      </c>
      <c r="F2003" s="40" t="s">
        <v>45</v>
      </c>
      <c r="G2003" s="36">
        <v>6</v>
      </c>
      <c r="H2003" s="121">
        <f>_xlfn.XLOOKUP(C2003&amp;F2003&amp;I2003&amp;J2003,'[1]2025年已发货'!$F:$F&amp;'[1]2025年已发货'!$C:$C&amp;'[1]2025年已发货'!$G:$G&amp;'[1]2025年已发货'!$H:$H,'[1]2025年已发货'!$E:$E,"未发货")</f>
        <v>6</v>
      </c>
      <c r="I2003" s="120" t="str">
        <f>VLOOKUP(B2003,辅助信息!E:I,3,FALSE)</f>
        <v>(五冶建设扩建艺体中学二期工程)四川省成都市双流区光荣路成都艺体中学南200米</v>
      </c>
      <c r="J2003" s="120" t="str">
        <f>VLOOKUP(B2003,辅助信息!E:I,4,FALSE)</f>
        <v>谢序强</v>
      </c>
      <c r="K2003" s="120">
        <f>VLOOKUP(J2003,辅助信息!H:I,2,FALSE)</f>
        <v>13458588232</v>
      </c>
      <c r="L2003" s="122"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1">
        <v>45831</v>
      </c>
      <c r="O2003" s="62">
        <f ca="1" t="shared" si="133"/>
        <v>0</v>
      </c>
      <c r="P2003" s="62">
        <f ca="1" t="shared" si="134"/>
        <v>129</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0">
        <v>45834</v>
      </c>
      <c r="D2004" s="120" t="str">
        <f>VLOOKUP(B2004,辅助信息!E:K,7,FALSE)</f>
        <v>JWDDCD2025102100473</v>
      </c>
      <c r="E2004" s="120" t="str">
        <f>VLOOKUP(F2004,辅助信息!A:B,2,FALSE)</f>
        <v>螺纹钢</v>
      </c>
      <c r="F2004" s="40" t="s">
        <v>21</v>
      </c>
      <c r="G2004" s="36">
        <v>6</v>
      </c>
      <c r="H2004" s="121">
        <f>_xlfn.XLOOKUP(C2004&amp;F2004&amp;I2004&amp;J2004,'[1]2025年已发货'!$F:$F&amp;'[1]2025年已发货'!$C:$C&amp;'[1]2025年已发货'!$G:$G&amp;'[1]2025年已发货'!$H:$H,'[1]2025年已发货'!$E:$E,"未发货")</f>
        <v>6</v>
      </c>
      <c r="I2004" s="120" t="str">
        <f>VLOOKUP(B2004,辅助信息!E:I,3,FALSE)</f>
        <v>(五冶建设扩建艺体中学二期工程)四川省成都市双流区光荣路成都艺体中学南200米</v>
      </c>
      <c r="J2004" s="120" t="str">
        <f>VLOOKUP(B2004,辅助信息!E:I,4,FALSE)</f>
        <v>谢序强</v>
      </c>
      <c r="K2004" s="120">
        <f>VLOOKUP(J2004,辅助信息!H:I,2,FALSE)</f>
        <v>13458588232</v>
      </c>
      <c r="L2004" s="122"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1">
        <v>45831</v>
      </c>
      <c r="O2004" s="62">
        <f ca="1" t="shared" si="133"/>
        <v>0</v>
      </c>
      <c r="P2004" s="62">
        <f ca="1" t="shared" si="134"/>
        <v>129</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0">
        <v>45834</v>
      </c>
      <c r="D2005" s="120" t="str">
        <f>VLOOKUP(B2005,辅助信息!E:K,7,FALSE)</f>
        <v>JWDDCD2025102100473</v>
      </c>
      <c r="E2005" s="120" t="str">
        <f>VLOOKUP(F2005,辅助信息!A:B,2,FALSE)</f>
        <v>螺纹钢</v>
      </c>
      <c r="F2005" s="40" t="s">
        <v>58</v>
      </c>
      <c r="G2005" s="36">
        <v>6</v>
      </c>
      <c r="H2005" s="121">
        <f>_xlfn.XLOOKUP(C2005&amp;F2005&amp;I2005&amp;J2005,'[1]2025年已发货'!$F:$F&amp;'[1]2025年已发货'!$C:$C&amp;'[1]2025年已发货'!$G:$G&amp;'[1]2025年已发货'!$H:$H,'[1]2025年已发货'!$E:$E,"未发货")</f>
        <v>6</v>
      </c>
      <c r="I2005" s="120" t="str">
        <f>VLOOKUP(B2005,辅助信息!E:I,3,FALSE)</f>
        <v>(五冶建设扩建艺体中学二期工程)四川省成都市双流区光荣路成都艺体中学南200米</v>
      </c>
      <c r="J2005" s="120" t="str">
        <f>VLOOKUP(B2005,辅助信息!E:I,4,FALSE)</f>
        <v>谢序强</v>
      </c>
      <c r="K2005" s="120">
        <f>VLOOKUP(J2005,辅助信息!H:I,2,FALSE)</f>
        <v>13458588232</v>
      </c>
      <c r="L2005" s="122"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1">
        <v>45831</v>
      </c>
      <c r="O2005" s="62">
        <f ca="1" t="shared" si="133"/>
        <v>0</v>
      </c>
      <c r="P2005" s="62">
        <f ca="1" t="shared" si="134"/>
        <v>129</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0">
        <v>45834</v>
      </c>
      <c r="D2006" s="120" t="str">
        <f>VLOOKUP(B2006,辅助信息!E:K,7,FALSE)</f>
        <v>JWDDCD2025102100473</v>
      </c>
      <c r="E2006" s="120" t="str">
        <f>VLOOKUP(F2006,辅助信息!A:B,2,FALSE)</f>
        <v>螺纹钢</v>
      </c>
      <c r="F2006" s="40" t="s">
        <v>46</v>
      </c>
      <c r="G2006" s="36">
        <v>6</v>
      </c>
      <c r="H2006" s="121">
        <f>_xlfn.XLOOKUP(C2006&amp;F2006&amp;I2006&amp;J2006,'[1]2025年已发货'!$F:$F&amp;'[1]2025年已发货'!$C:$C&amp;'[1]2025年已发货'!$G:$G&amp;'[1]2025年已发货'!$H:$H,'[1]2025年已发货'!$E:$E,"未发货")</f>
        <v>6</v>
      </c>
      <c r="I2006" s="120" t="str">
        <f>VLOOKUP(B2006,辅助信息!E:I,3,FALSE)</f>
        <v>(五冶建设扩建艺体中学二期工程)四川省成都市双流区光荣路成都艺体中学南200米</v>
      </c>
      <c r="J2006" s="120" t="str">
        <f>VLOOKUP(B2006,辅助信息!E:I,4,FALSE)</f>
        <v>谢序强</v>
      </c>
      <c r="K2006" s="120">
        <f>VLOOKUP(J2006,辅助信息!H:I,2,FALSE)</f>
        <v>13458588232</v>
      </c>
      <c r="L2006" s="122"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1">
        <v>45831</v>
      </c>
      <c r="O2006" s="62">
        <f ca="1" t="shared" si="133"/>
        <v>0</v>
      </c>
      <c r="P2006" s="62">
        <f ca="1" t="shared" si="134"/>
        <v>129</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0">
        <v>45834</v>
      </c>
      <c r="D2007" s="120" t="str">
        <f>VLOOKUP(B2007,辅助信息!E:K,7,FALSE)</f>
        <v>JWDDCD2025102100473</v>
      </c>
      <c r="E2007" s="120" t="str">
        <f>VLOOKUP(F2007,辅助信息!A:B,2,FALSE)</f>
        <v>螺纹钢</v>
      </c>
      <c r="F2007" s="40" t="s">
        <v>22</v>
      </c>
      <c r="G2007" s="36">
        <v>9</v>
      </c>
      <c r="H2007" s="121">
        <f>_xlfn.XLOOKUP(C2007&amp;F2007&amp;I2007&amp;J2007,'[1]2025年已发货'!$F:$F&amp;'[1]2025年已发货'!$C:$C&amp;'[1]2025年已发货'!$G:$G&amp;'[1]2025年已发货'!$H:$H,'[1]2025年已发货'!$E:$E,"未发货")</f>
        <v>9</v>
      </c>
      <c r="I2007" s="120" t="str">
        <f>VLOOKUP(B2007,辅助信息!E:I,3,FALSE)</f>
        <v>(五冶建设扩建艺体中学二期工程)四川省成都市双流区光荣路成都艺体中学南200米</v>
      </c>
      <c r="J2007" s="120" t="str">
        <f>VLOOKUP(B2007,辅助信息!E:I,4,FALSE)</f>
        <v>谢序强</v>
      </c>
      <c r="K2007" s="120">
        <f>VLOOKUP(J2007,辅助信息!H:I,2,FALSE)</f>
        <v>13458588232</v>
      </c>
      <c r="L2007" s="122"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1">
        <v>45831</v>
      </c>
      <c r="O2007" s="62">
        <f ca="1" t="shared" si="133"/>
        <v>0</v>
      </c>
      <c r="P2007" s="62">
        <f ca="1" t="shared" si="134"/>
        <v>129</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0">
        <v>45834</v>
      </c>
      <c r="D2008" s="120" t="str">
        <f>VLOOKUP(B2008,辅助信息!E:K,7,FALSE)</f>
        <v>JWDDCD2025102100473</v>
      </c>
      <c r="E2008" s="120" t="str">
        <f>VLOOKUP(F2008,辅助信息!A:B,2,FALSE)</f>
        <v>螺纹钢</v>
      </c>
      <c r="F2008" s="40" t="s">
        <v>181</v>
      </c>
      <c r="G2008" s="36">
        <v>3</v>
      </c>
      <c r="H2008" s="121">
        <f>_xlfn.XLOOKUP(C2008&amp;F2008&amp;I2008&amp;J2008,'[1]2025年已发货'!$F:$F&amp;'[1]2025年已发货'!$C:$C&amp;'[1]2025年已发货'!$G:$G&amp;'[1]2025年已发货'!$H:$H,'[1]2025年已发货'!$E:$E,"未发货")</f>
        <v>3</v>
      </c>
      <c r="I2008" s="120" t="str">
        <f>VLOOKUP(B2008,辅助信息!E:I,3,FALSE)</f>
        <v>(五冶建设扩建艺体中学二期工程)四川省成都市双流区光荣路成都艺体中学南200米</v>
      </c>
      <c r="J2008" s="120" t="str">
        <f>VLOOKUP(B2008,辅助信息!E:I,4,FALSE)</f>
        <v>谢序强</v>
      </c>
      <c r="K2008" s="120">
        <f>VLOOKUP(J2008,辅助信息!H:I,2,FALSE)</f>
        <v>13458588232</v>
      </c>
      <c r="L2008" s="122"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1">
        <v>45831</v>
      </c>
      <c r="O2008" s="62">
        <f ca="1" t="shared" si="133"/>
        <v>0</v>
      </c>
      <c r="P2008" s="62">
        <f ca="1" t="shared" si="134"/>
        <v>129</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0">
        <v>45834</v>
      </c>
      <c r="D2009" s="120" t="str">
        <f>VLOOKUP(B2009,辅助信息!E:K,7,FALSE)</f>
        <v>JWDDCD2025102100473</v>
      </c>
      <c r="E2009" s="120" t="str">
        <f>VLOOKUP(F2009,辅助信息!A:B,2,FALSE)</f>
        <v>螺纹钢</v>
      </c>
      <c r="F2009" s="40" t="s">
        <v>182</v>
      </c>
      <c r="G2009" s="36">
        <v>3</v>
      </c>
      <c r="H2009" s="121">
        <f>_xlfn.XLOOKUP(C2009&amp;F2009&amp;I2009&amp;J2009,'[1]2025年已发货'!$F:$F&amp;'[1]2025年已发货'!$C:$C&amp;'[1]2025年已发货'!$G:$G&amp;'[1]2025年已发货'!$H:$H,'[1]2025年已发货'!$E:$E,"未发货")</f>
        <v>3</v>
      </c>
      <c r="I2009" s="120" t="str">
        <f>VLOOKUP(B2009,辅助信息!E:I,3,FALSE)</f>
        <v>(五冶建设扩建艺体中学二期工程)四川省成都市双流区光荣路成都艺体中学南200米</v>
      </c>
      <c r="J2009" s="120" t="str">
        <f>VLOOKUP(B2009,辅助信息!E:I,4,FALSE)</f>
        <v>谢序强</v>
      </c>
      <c r="K2009" s="120">
        <f>VLOOKUP(J2009,辅助信息!H:I,2,FALSE)</f>
        <v>13458588232</v>
      </c>
      <c r="L2009" s="122"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1">
        <v>45831</v>
      </c>
      <c r="O2009" s="62">
        <f ca="1" t="shared" si="133"/>
        <v>0</v>
      </c>
      <c r="P2009" s="62">
        <f ca="1" t="shared" si="134"/>
        <v>129</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0" t="s">
        <v>179</v>
      </c>
      <c r="C2010" s="70">
        <v>45835</v>
      </c>
      <c r="D2010" s="120" t="str">
        <f>VLOOKUP(B2010,辅助信息!E:K,7,FALSE)</f>
        <v>JWDDCD2025052800131</v>
      </c>
      <c r="E2010" s="120" t="str">
        <f>VLOOKUP(F2010,辅助信息!A:B,2,FALSE)</f>
        <v>螺纹钢</v>
      </c>
      <c r="F2010" s="120" t="s">
        <v>22</v>
      </c>
      <c r="G2010" s="121">
        <v>24</v>
      </c>
      <c r="H2010" s="134">
        <f>_xlfn.XLOOKUP(C2010&amp;F2010&amp;I2010&amp;J2010,'[1]2025年已发货'!$F:$F&amp;'[1]2025年已发货'!$C:$C&amp;'[1]2025年已发货'!$G:$G&amp;'[1]2025年已发货'!$H:$H,'[1]2025年已发货'!$E:$E,"未发货")</f>
        <v>10</v>
      </c>
      <c r="I2010" s="120" t="str">
        <f>VLOOKUP(B2010,辅助信息!E:I,3,FALSE)</f>
        <v>（商投建工达州中医药科技园-4工区-3号楼）达州市通川区达州中医药职业学院犀牛大道北段</v>
      </c>
      <c r="J2010" s="120" t="str">
        <f>VLOOKUP(B2010,辅助信息!E:I,4,FALSE)</f>
        <v>张扬</v>
      </c>
      <c r="K2010" s="120">
        <f>VLOOKUP(J2010,辅助信息!H:I,2,FALSE)</f>
        <v>18381904567</v>
      </c>
      <c r="L2010" s="122" t="str">
        <f>VLOOKUP(B2010,辅助信息!E:J,6,FALSE)</f>
        <v>控制炉批号！多了现场不收！,优先安排达钢,提前联系到场规格及数量</v>
      </c>
      <c r="M2010" s="91">
        <v>45835</v>
      </c>
      <c r="O2010" s="62">
        <f ca="1" t="shared" si="133"/>
        <v>0</v>
      </c>
      <c r="P2010" s="62">
        <f ca="1" t="shared" si="134"/>
        <v>125</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0" t="s">
        <v>180</v>
      </c>
      <c r="C2011" s="70">
        <v>45835</v>
      </c>
      <c r="D2011" s="120" t="str">
        <f>VLOOKUP(B2011,辅助信息!E:K,7,FALSE)</f>
        <v>JWDDCD2025052800131</v>
      </c>
      <c r="E2011" s="120" t="str">
        <f>VLOOKUP(F2011,辅助信息!A:B,2,FALSE)</f>
        <v>螺纹钢</v>
      </c>
      <c r="F2011" s="120" t="s">
        <v>21</v>
      </c>
      <c r="G2011" s="121">
        <v>6</v>
      </c>
      <c r="H2011" s="134">
        <f>_xlfn.XLOOKUP(C2011&amp;F2011&amp;I2011&amp;J2011,'[1]2025年已发货'!$F:$F&amp;'[1]2025年已发货'!$C:$C&amp;'[1]2025年已发货'!$G:$G&amp;'[1]2025年已发货'!$H:$H,'[1]2025年已发货'!$E:$E,"未发货")</f>
        <v>3</v>
      </c>
      <c r="I2011" s="120" t="str">
        <f>VLOOKUP(B2011,辅助信息!E:I,3,FALSE)</f>
        <v>（商投建工达州中医药科技园-4工区-8号楼）达州市通川区达州中医药职业学院犀牛大道北段</v>
      </c>
      <c r="J2011" s="120" t="str">
        <f>VLOOKUP(B2011,辅助信息!E:I,4,FALSE)</f>
        <v>张扬</v>
      </c>
      <c r="K2011" s="120">
        <f>VLOOKUP(J2011,辅助信息!H:I,2,FALSE)</f>
        <v>18381904567</v>
      </c>
      <c r="L2011" s="122" t="str">
        <f>VLOOKUP(B2011,辅助信息!E:J,6,FALSE)</f>
        <v>控制炉批号！多了现场不收！,优先安排达钢,提前联系到场规格及数量</v>
      </c>
      <c r="M2011" s="91">
        <v>45835</v>
      </c>
      <c r="O2011" s="62">
        <f ca="1" t="shared" si="133"/>
        <v>0</v>
      </c>
      <c r="P2011" s="62">
        <f ca="1" t="shared" si="134"/>
        <v>125</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0" t="s">
        <v>180</v>
      </c>
      <c r="C2012" s="70">
        <v>45835</v>
      </c>
      <c r="D2012" s="120" t="str">
        <f>VLOOKUP(B2012,辅助信息!E:K,7,FALSE)</f>
        <v>JWDDCD2025052800131</v>
      </c>
      <c r="E2012" s="120" t="str">
        <f>VLOOKUP(F2012,辅助信息!A:B,2,FALSE)</f>
        <v>螺纹钢</v>
      </c>
      <c r="F2012" s="120" t="s">
        <v>46</v>
      </c>
      <c r="G2012" s="121">
        <v>24</v>
      </c>
      <c r="H2012" s="134">
        <f>_xlfn.XLOOKUP(C2012&amp;F2012&amp;I2012&amp;J2012,'[1]2025年已发货'!$F:$F&amp;'[1]2025年已发货'!$C:$C&amp;'[1]2025年已发货'!$G:$G&amp;'[1]2025年已发货'!$H:$H,'[1]2025年已发货'!$E:$E,"未发货")</f>
        <v>10</v>
      </c>
      <c r="I2012" s="120" t="str">
        <f>VLOOKUP(B2012,辅助信息!E:I,3,FALSE)</f>
        <v>（商投建工达州中医药科技园-4工区-8号楼）达州市通川区达州中医药职业学院犀牛大道北段</v>
      </c>
      <c r="J2012" s="120" t="str">
        <f>VLOOKUP(B2012,辅助信息!E:I,4,FALSE)</f>
        <v>张扬</v>
      </c>
      <c r="K2012" s="120">
        <f>VLOOKUP(J2012,辅助信息!H:I,2,FALSE)</f>
        <v>18381904567</v>
      </c>
      <c r="L2012" s="122" t="str">
        <f>VLOOKUP(B2012,辅助信息!E:J,6,FALSE)</f>
        <v>控制炉批号！多了现场不收！,优先安排达钢,提前联系到场规格及数量</v>
      </c>
      <c r="M2012" s="91">
        <v>45835</v>
      </c>
      <c r="O2012" s="62">
        <f ca="1" t="shared" si="133"/>
        <v>0</v>
      </c>
      <c r="P2012" s="62">
        <f ca="1" t="shared" si="134"/>
        <v>125</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0" t="s">
        <v>180</v>
      </c>
      <c r="C2013" s="70">
        <v>45835</v>
      </c>
      <c r="D2013" s="120" t="str">
        <f>VLOOKUP(B2013,辅助信息!E:K,7,FALSE)</f>
        <v>JWDDCD2025052800131</v>
      </c>
      <c r="E2013" s="120" t="str">
        <f>VLOOKUP(F2013,辅助信息!A:B,2,FALSE)</f>
        <v>螺纹钢</v>
      </c>
      <c r="F2013" s="120" t="s">
        <v>22</v>
      </c>
      <c r="G2013" s="121">
        <v>24</v>
      </c>
      <c r="H2013" s="134">
        <f>_xlfn.XLOOKUP(C2013&amp;F2013&amp;I2013&amp;J2013,'[1]2025年已发货'!$F:$F&amp;'[1]2025年已发货'!$C:$C&amp;'[1]2025年已发货'!$G:$G&amp;'[1]2025年已发货'!$H:$H,'[1]2025年已发货'!$E:$E,"未发货")</f>
        <v>10</v>
      </c>
      <c r="I2013" s="120" t="str">
        <f>VLOOKUP(B2013,辅助信息!E:I,3,FALSE)</f>
        <v>（商投建工达州中医药科技园-4工区-8号楼）达州市通川区达州中医药职业学院犀牛大道北段</v>
      </c>
      <c r="J2013" s="120" t="str">
        <f>VLOOKUP(B2013,辅助信息!E:I,4,FALSE)</f>
        <v>张扬</v>
      </c>
      <c r="K2013" s="120">
        <f>VLOOKUP(J2013,辅助信息!H:I,2,FALSE)</f>
        <v>18381904567</v>
      </c>
      <c r="L2013" s="122" t="str">
        <f>VLOOKUP(B2013,辅助信息!E:J,6,FALSE)</f>
        <v>控制炉批号！多了现场不收！,优先安排达钢,提前联系到场规格及数量</v>
      </c>
      <c r="M2013" s="91">
        <v>45835</v>
      </c>
      <c r="O2013" s="62">
        <f ca="1" t="shared" si="133"/>
        <v>0</v>
      </c>
      <c r="P2013" s="62">
        <f ca="1" t="shared" si="134"/>
        <v>125</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0" t="s">
        <v>47</v>
      </c>
      <c r="C2014" s="70">
        <v>45835</v>
      </c>
      <c r="D2014" s="120" t="str">
        <f>VLOOKUP(B2014,辅助信息!E:K,7,FALSE)</f>
        <v>JWDDCD2025052800131</v>
      </c>
      <c r="E2014" s="120" t="str">
        <f>VLOOKUP(F2014,辅助信息!A:B,2,FALSE)</f>
        <v>螺纹钢</v>
      </c>
      <c r="F2014" s="120" t="s">
        <v>21</v>
      </c>
      <c r="G2014" s="121">
        <v>12</v>
      </c>
      <c r="H2014" s="134">
        <f>_xlfn.XLOOKUP(C2014&amp;F2014&amp;I2014&amp;J2014,'[1]2025年已发货'!$F:$F&amp;'[1]2025年已发货'!$C:$C&amp;'[1]2025年已发货'!$G:$G&amp;'[1]2025年已发货'!$H:$H,'[1]2025年已发货'!$E:$E,"未发货")</f>
        <v>5</v>
      </c>
      <c r="I2014" s="120" t="str">
        <f>VLOOKUP(B2014,辅助信息!E:I,3,FALSE)</f>
        <v>（商投建工达州中医药科技园-1工区）达州市通川区达州中医药职业学院犀牛大道北段</v>
      </c>
      <c r="J2014" s="120" t="str">
        <f>VLOOKUP(B2014,辅助信息!E:I,4,FALSE)</f>
        <v>程黄刚</v>
      </c>
      <c r="K2014" s="120">
        <f>VLOOKUP(J2014,辅助信息!H:I,2,FALSE)</f>
        <v>15108211617</v>
      </c>
      <c r="L2014" s="122" t="str">
        <f>VLOOKUP(B2014,辅助信息!E:J,6,FALSE)</f>
        <v>控制炉批号！多了现场不收！,优先安排达钢,提前联系到场规格及数量</v>
      </c>
      <c r="M2014" s="91">
        <v>45835</v>
      </c>
      <c r="O2014" s="62">
        <f ca="1" t="shared" si="133"/>
        <v>0</v>
      </c>
      <c r="P2014" s="62">
        <f ca="1" t="shared" si="134"/>
        <v>125</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0" t="s">
        <v>47</v>
      </c>
      <c r="C2015" s="70">
        <v>45835</v>
      </c>
      <c r="D2015" s="120" t="str">
        <f>VLOOKUP(B2015,辅助信息!E:K,7,FALSE)</f>
        <v>JWDDCD2025052800131</v>
      </c>
      <c r="E2015" s="120" t="str">
        <f>VLOOKUP(F2015,辅助信息!A:B,2,FALSE)</f>
        <v>螺纹钢</v>
      </c>
      <c r="F2015" s="120" t="s">
        <v>58</v>
      </c>
      <c r="G2015" s="121">
        <v>6</v>
      </c>
      <c r="H2015" s="134">
        <f>_xlfn.XLOOKUP(C2015&amp;F2015&amp;I2015&amp;J2015,'[1]2025年已发货'!$F:$F&amp;'[1]2025年已发货'!$C:$C&amp;'[1]2025年已发货'!$G:$G&amp;'[1]2025年已发货'!$H:$H,'[1]2025年已发货'!$E:$E,"未发货")</f>
        <v>5</v>
      </c>
      <c r="I2015" s="120" t="str">
        <f>VLOOKUP(B2015,辅助信息!E:I,3,FALSE)</f>
        <v>（商投建工达州中医药科技园-1工区）达州市通川区达州中医药职业学院犀牛大道北段</v>
      </c>
      <c r="J2015" s="120" t="str">
        <f>VLOOKUP(B2015,辅助信息!E:I,4,FALSE)</f>
        <v>程黄刚</v>
      </c>
      <c r="K2015" s="120">
        <f>VLOOKUP(J2015,辅助信息!H:I,2,FALSE)</f>
        <v>15108211617</v>
      </c>
      <c r="L2015" s="122" t="str">
        <f>VLOOKUP(B2015,辅助信息!E:J,6,FALSE)</f>
        <v>控制炉批号！多了现场不收！,优先安排达钢,提前联系到场规格及数量</v>
      </c>
      <c r="M2015" s="91">
        <v>45835</v>
      </c>
      <c r="O2015" s="62">
        <f ca="1" t="shared" si="133"/>
        <v>0</v>
      </c>
      <c r="P2015" s="62">
        <f ca="1" t="shared" si="134"/>
        <v>125</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0" t="s">
        <v>47</v>
      </c>
      <c r="C2016" s="70">
        <v>45835</v>
      </c>
      <c r="D2016" s="120" t="str">
        <f>VLOOKUP(B2016,辅助信息!E:K,7,FALSE)</f>
        <v>JWDDCD2025052800131</v>
      </c>
      <c r="E2016" s="120" t="str">
        <f>VLOOKUP(F2016,辅助信息!A:B,2,FALSE)</f>
        <v>盘螺</v>
      </c>
      <c r="F2016" s="120" t="s">
        <v>49</v>
      </c>
      <c r="G2016" s="121">
        <v>3</v>
      </c>
      <c r="H2016" s="134">
        <f>_xlfn.XLOOKUP(C2016&amp;F2016&amp;I2016&amp;J2016,'[1]2025年已发货'!$F:$F&amp;'[1]2025年已发货'!$C:$C&amp;'[1]2025年已发货'!$G:$G&amp;'[1]2025年已发货'!$H:$H,'[1]2025年已发货'!$E:$E,"未发货")</f>
        <v>3</v>
      </c>
      <c r="I2016" s="120" t="str">
        <f>VLOOKUP(B2016,辅助信息!E:I,3,FALSE)</f>
        <v>（商投建工达州中医药科技园-1工区）达州市通川区达州中医药职业学院犀牛大道北段</v>
      </c>
      <c r="J2016" s="120" t="str">
        <f>VLOOKUP(B2016,辅助信息!E:I,4,FALSE)</f>
        <v>程黄刚</v>
      </c>
      <c r="K2016" s="120">
        <f>VLOOKUP(J2016,辅助信息!H:I,2,FALSE)</f>
        <v>15108211617</v>
      </c>
      <c r="L2016" s="122" t="str">
        <f>VLOOKUP(B2016,辅助信息!E:J,6,FALSE)</f>
        <v>控制炉批号！多了现场不收！,优先安排达钢,提前联系到场规格及数量</v>
      </c>
      <c r="M2016" s="91">
        <v>45835</v>
      </c>
      <c r="O2016" s="62">
        <f ca="1" t="shared" si="133"/>
        <v>0</v>
      </c>
      <c r="P2016" s="62">
        <f ca="1" t="shared" si="134"/>
        <v>125</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0" t="s">
        <v>47</v>
      </c>
      <c r="C2017" s="70">
        <v>45835</v>
      </c>
      <c r="D2017" s="120" t="str">
        <f>VLOOKUP(B2017,辅助信息!E:K,7,FALSE)</f>
        <v>JWDDCD2025052800131</v>
      </c>
      <c r="E2017" s="120" t="str">
        <f>VLOOKUP(F2017,辅助信息!A:B,2,FALSE)</f>
        <v>螺纹钢</v>
      </c>
      <c r="F2017" s="120" t="s">
        <v>27</v>
      </c>
      <c r="G2017" s="121">
        <v>12</v>
      </c>
      <c r="H2017" s="134">
        <f>_xlfn.XLOOKUP(C2017&amp;F2017&amp;I2017&amp;J2017,'[1]2025年已发货'!$F:$F&amp;'[1]2025年已发货'!$C:$C&amp;'[1]2025年已发货'!$G:$G&amp;'[1]2025年已发货'!$H:$H,'[1]2025年已发货'!$E:$E,"未发货")</f>
        <v>12</v>
      </c>
      <c r="I2017" s="120" t="str">
        <f>VLOOKUP(B2017,辅助信息!E:I,3,FALSE)</f>
        <v>（商投建工达州中医药科技园-1工区）达州市通川区达州中医药职业学院犀牛大道北段</v>
      </c>
      <c r="J2017" s="120" t="str">
        <f>VLOOKUP(B2017,辅助信息!E:I,4,FALSE)</f>
        <v>程黄刚</v>
      </c>
      <c r="K2017" s="120">
        <f>VLOOKUP(J2017,辅助信息!H:I,2,FALSE)</f>
        <v>15108211617</v>
      </c>
      <c r="L2017" s="122" t="str">
        <f>VLOOKUP(B2017,辅助信息!E:J,6,FALSE)</f>
        <v>控制炉批号！多了现场不收！,优先安排达钢,提前联系到场规格及数量</v>
      </c>
      <c r="M2017" s="91">
        <v>45835</v>
      </c>
      <c r="O2017" s="62">
        <f ca="1" t="shared" si="133"/>
        <v>0</v>
      </c>
      <c r="P2017" s="62">
        <f ca="1" t="shared" si="134"/>
        <v>125</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0" t="s">
        <v>47</v>
      </c>
      <c r="C2018" s="70">
        <v>45835</v>
      </c>
      <c r="D2018" s="120" t="str">
        <f>VLOOKUP(B2018,辅助信息!E:K,7,FALSE)</f>
        <v>JWDDCD2025052800131</v>
      </c>
      <c r="E2018" s="120" t="str">
        <f>VLOOKUP(F2018,辅助信息!A:B,2,FALSE)</f>
        <v>螺纹钢</v>
      </c>
      <c r="F2018" s="120" t="s">
        <v>19</v>
      </c>
      <c r="G2018" s="121">
        <v>3</v>
      </c>
      <c r="H2018" s="134">
        <f>_xlfn.XLOOKUP(C2018&amp;F2018&amp;I2018&amp;J2018,'[1]2025年已发货'!$F:$F&amp;'[1]2025年已发货'!$C:$C&amp;'[1]2025年已发货'!$G:$G&amp;'[1]2025年已发货'!$H:$H,'[1]2025年已发货'!$E:$E,"未发货")</f>
        <v>3</v>
      </c>
      <c r="I2018" s="120" t="str">
        <f>VLOOKUP(B2018,辅助信息!E:I,3,FALSE)</f>
        <v>（商投建工达州中医药科技园-1工区）达州市通川区达州中医药职业学院犀牛大道北段</v>
      </c>
      <c r="J2018" s="120" t="str">
        <f>VLOOKUP(B2018,辅助信息!E:I,4,FALSE)</f>
        <v>程黄刚</v>
      </c>
      <c r="K2018" s="120">
        <f>VLOOKUP(J2018,辅助信息!H:I,2,FALSE)</f>
        <v>15108211617</v>
      </c>
      <c r="L2018" s="122" t="str">
        <f>VLOOKUP(B2018,辅助信息!E:J,6,FALSE)</f>
        <v>控制炉批号！多了现场不收！,优先安排达钢,提前联系到场规格及数量</v>
      </c>
      <c r="M2018" s="91">
        <v>45835</v>
      </c>
      <c r="O2018" s="62">
        <f ca="1" t="shared" si="133"/>
        <v>0</v>
      </c>
      <c r="P2018" s="62">
        <f ca="1" t="shared" si="134"/>
        <v>125</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0" t="s">
        <v>47</v>
      </c>
      <c r="C2019" s="70">
        <v>45835</v>
      </c>
      <c r="D2019" s="120" t="str">
        <f>VLOOKUP(B2019,辅助信息!E:K,7,FALSE)</f>
        <v>JWDDCD2025052800131</v>
      </c>
      <c r="E2019" s="120" t="str">
        <f>VLOOKUP(F2019,辅助信息!A:B,2,FALSE)</f>
        <v>螺纹钢</v>
      </c>
      <c r="F2019" s="120" t="s">
        <v>32</v>
      </c>
      <c r="G2019" s="121">
        <v>12</v>
      </c>
      <c r="H2019" s="134">
        <f>_xlfn.XLOOKUP(C2019&amp;F2019&amp;I2019&amp;J2019,'[1]2025年已发货'!$F:$F&amp;'[1]2025年已发货'!$C:$C&amp;'[1]2025年已发货'!$G:$G&amp;'[1]2025年已发货'!$H:$H,'[1]2025年已发货'!$E:$E,"未发货")</f>
        <v>12</v>
      </c>
      <c r="I2019" s="120" t="str">
        <f>VLOOKUP(B2019,辅助信息!E:I,3,FALSE)</f>
        <v>（商投建工达州中医药科技园-1工区）达州市通川区达州中医药职业学院犀牛大道北段</v>
      </c>
      <c r="J2019" s="120" t="str">
        <f>VLOOKUP(B2019,辅助信息!E:I,4,FALSE)</f>
        <v>程黄刚</v>
      </c>
      <c r="K2019" s="120">
        <f>VLOOKUP(J2019,辅助信息!H:I,2,FALSE)</f>
        <v>15108211617</v>
      </c>
      <c r="L2019" s="122" t="str">
        <f>VLOOKUP(B2019,辅助信息!E:J,6,FALSE)</f>
        <v>控制炉批号！多了现场不收！,优先安排达钢,提前联系到场规格及数量</v>
      </c>
      <c r="M2019" s="91">
        <v>45835</v>
      </c>
      <c r="O2019" s="62">
        <f ca="1" t="shared" si="133"/>
        <v>0</v>
      </c>
      <c r="P2019" s="62">
        <f ca="1" t="shared" si="134"/>
        <v>125</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0" t="s">
        <v>47</v>
      </c>
      <c r="C2020" s="70">
        <v>45835</v>
      </c>
      <c r="D2020" s="120" t="str">
        <f>VLOOKUP(B2020,辅助信息!E:K,7,FALSE)</f>
        <v>JWDDCD2025052800131</v>
      </c>
      <c r="E2020" s="120" t="str">
        <f>VLOOKUP(F2020,辅助信息!A:B,2,FALSE)</f>
        <v>螺纹钢</v>
      </c>
      <c r="F2020" s="120" t="s">
        <v>45</v>
      </c>
      <c r="G2020" s="121">
        <v>3</v>
      </c>
      <c r="H2020" s="134">
        <f>_xlfn.XLOOKUP(C2020&amp;F2020&amp;I2020&amp;J2020,'[1]2025年已发货'!$F:$F&amp;'[1]2025年已发货'!$C:$C&amp;'[1]2025年已发货'!$G:$G&amp;'[1]2025年已发货'!$H:$H,'[1]2025年已发货'!$E:$E,"未发货")</f>
        <v>3</v>
      </c>
      <c r="I2020" s="120" t="str">
        <f>VLOOKUP(B2020,辅助信息!E:I,3,FALSE)</f>
        <v>（商投建工达州中医药科技园-1工区）达州市通川区达州中医药职业学院犀牛大道北段</v>
      </c>
      <c r="J2020" s="120" t="str">
        <f>VLOOKUP(B2020,辅助信息!E:I,4,FALSE)</f>
        <v>程黄刚</v>
      </c>
      <c r="K2020" s="120">
        <f>VLOOKUP(J2020,辅助信息!H:I,2,FALSE)</f>
        <v>15108211617</v>
      </c>
      <c r="L2020" s="122" t="str">
        <f>VLOOKUP(B2020,辅助信息!E:J,6,FALSE)</f>
        <v>控制炉批号！多了现场不收！,优先安排达钢,提前联系到场规格及数量</v>
      </c>
      <c r="M2020" s="91">
        <v>45835</v>
      </c>
      <c r="O2020" s="62">
        <f ca="1" t="shared" si="133"/>
        <v>0</v>
      </c>
      <c r="P2020" s="62">
        <f ca="1" t="shared" si="134"/>
        <v>125</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0" t="s">
        <v>47</v>
      </c>
      <c r="C2021" s="70">
        <v>45835</v>
      </c>
      <c r="D2021" s="120" t="str">
        <f>VLOOKUP(B2021,辅助信息!E:K,7,FALSE)</f>
        <v>JWDDCD2025052800131</v>
      </c>
      <c r="E2021" s="120" t="str">
        <f>VLOOKUP(F2021,辅助信息!A:B,2,FALSE)</f>
        <v>螺纹钢</v>
      </c>
      <c r="F2021" s="120" t="s">
        <v>46</v>
      </c>
      <c r="G2021" s="121">
        <v>18</v>
      </c>
      <c r="H2021" s="134">
        <f>_xlfn.XLOOKUP(C2021&amp;F2021&amp;I2021&amp;J2021,'[1]2025年已发货'!$F:$F&amp;'[1]2025年已发货'!$C:$C&amp;'[1]2025年已发货'!$G:$G&amp;'[1]2025年已发货'!$H:$H,'[1]2025年已发货'!$E:$E,"未发货")</f>
        <v>15</v>
      </c>
      <c r="I2021" s="120" t="str">
        <f>VLOOKUP(B2021,辅助信息!E:I,3,FALSE)</f>
        <v>（商投建工达州中医药科技园-1工区）达州市通川区达州中医药职业学院犀牛大道北段</v>
      </c>
      <c r="J2021" s="120" t="str">
        <f>VLOOKUP(B2021,辅助信息!E:I,4,FALSE)</f>
        <v>程黄刚</v>
      </c>
      <c r="K2021" s="120">
        <f>VLOOKUP(J2021,辅助信息!H:I,2,FALSE)</f>
        <v>15108211617</v>
      </c>
      <c r="L2021" s="122" t="str">
        <f>VLOOKUP(B2021,辅助信息!E:J,6,FALSE)</f>
        <v>控制炉批号！多了现场不收！,优先安排达钢,提前联系到场规格及数量</v>
      </c>
      <c r="M2021" s="91">
        <v>45835</v>
      </c>
      <c r="O2021" s="62">
        <f ca="1" t="shared" si="133"/>
        <v>0</v>
      </c>
      <c r="P2021" s="62">
        <f ca="1" t="shared" si="134"/>
        <v>125</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0" t="s">
        <v>47</v>
      </c>
      <c r="C2022" s="70">
        <v>45835</v>
      </c>
      <c r="D2022" s="120" t="str">
        <f>VLOOKUP(B2022,辅助信息!E:K,7,FALSE)</f>
        <v>JWDDCD2025052800131</v>
      </c>
      <c r="E2022" s="120" t="str">
        <f>VLOOKUP(F2022,辅助信息!A:B,2,FALSE)</f>
        <v>螺纹钢</v>
      </c>
      <c r="F2022" s="120" t="s">
        <v>22</v>
      </c>
      <c r="G2022" s="121">
        <v>9</v>
      </c>
      <c r="H2022" s="134">
        <f>_xlfn.XLOOKUP(C2022&amp;F2022&amp;I2022&amp;J2022,'[1]2025年已发货'!$F:$F&amp;'[1]2025年已发货'!$C:$C&amp;'[1]2025年已发货'!$G:$G&amp;'[1]2025年已发货'!$H:$H,'[1]2025年已发货'!$E:$E,"未发货")</f>
        <v>5</v>
      </c>
      <c r="I2022" s="120" t="str">
        <f>VLOOKUP(B2022,辅助信息!E:I,3,FALSE)</f>
        <v>（商投建工达州中医药科技园-1工区）达州市通川区达州中医药职业学院犀牛大道北段</v>
      </c>
      <c r="J2022" s="120" t="str">
        <f>VLOOKUP(B2022,辅助信息!E:I,4,FALSE)</f>
        <v>程黄刚</v>
      </c>
      <c r="K2022" s="120">
        <f>VLOOKUP(J2022,辅助信息!H:I,2,FALSE)</f>
        <v>15108211617</v>
      </c>
      <c r="L2022" s="122" t="str">
        <f>VLOOKUP(B2022,辅助信息!E:J,6,FALSE)</f>
        <v>控制炉批号！多了现场不收！,优先安排达钢,提前联系到场规格及数量</v>
      </c>
      <c r="M2022" s="91">
        <v>45835</v>
      </c>
      <c r="O2022" s="62">
        <f ca="1" t="shared" si="133"/>
        <v>0</v>
      </c>
      <c r="P2022" s="62">
        <f ca="1" t="shared" si="134"/>
        <v>125</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0" t="s">
        <v>167</v>
      </c>
      <c r="C2023" s="70">
        <v>45835</v>
      </c>
      <c r="D2023" s="120" t="str">
        <f>VLOOKUP(B2023,辅助信息!E:K,7,FALSE)</f>
        <v>JWDDCD2025102100473</v>
      </c>
      <c r="E2023" s="120" t="str">
        <f>VLOOKUP(F2023,辅助信息!A:B,2,FALSE)</f>
        <v>盘螺</v>
      </c>
      <c r="F2023" s="120" t="s">
        <v>40</v>
      </c>
      <c r="G2023" s="121">
        <v>5</v>
      </c>
      <c r="H2023" s="134">
        <f>_xlfn.XLOOKUP(C2023&amp;F2023&amp;I2023&amp;J2023,'[1]2025年已发货'!$F:$F&amp;'[1]2025年已发货'!$C:$C&amp;'[1]2025年已发货'!$G:$G&amp;'[1]2025年已发货'!$H:$H,'[1]2025年已发货'!$E:$E,"未发货")</f>
        <v>5</v>
      </c>
      <c r="I2023" s="120" t="str">
        <f>VLOOKUP(B2023,辅助信息!E:I,3,FALSE)</f>
        <v>(五冶建设扩建艺体中学二期工程)四川省成都市双流区光荣路成都艺体中学南200米</v>
      </c>
      <c r="J2023" s="120" t="str">
        <f>VLOOKUP(B2023,辅助信息!E:I,4,FALSE)</f>
        <v>谢序强</v>
      </c>
      <c r="K2023" s="120">
        <f>VLOOKUP(J2023,辅助信息!H:I,2,FALSE)</f>
        <v>13458588232</v>
      </c>
      <c r="L2023" s="122"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1">
        <v>45835</v>
      </c>
      <c r="O2023" s="62">
        <f ca="1" t="shared" ref="O2023:O2042" si="135">IF(OR(M2023="",N2023&lt;&gt;""),"",MAX(M2023-TODAY(),0))</f>
        <v>0</v>
      </c>
      <c r="P2023" s="62">
        <f ca="1" t="shared" ref="P2023:P2042" si="136">IF(M2023="","",IF(N2023&lt;&gt;"",MAX(N2023-M2023,0),IF(TODAY()&gt;M2023,TODAY()-M2023,0)))</f>
        <v>125</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0" t="s">
        <v>167</v>
      </c>
      <c r="C2024" s="70">
        <v>45835</v>
      </c>
      <c r="D2024" s="120" t="str">
        <f>VLOOKUP(B2024,辅助信息!E:K,7,FALSE)</f>
        <v>JWDDCD2025102100473</v>
      </c>
      <c r="E2024" s="120" t="str">
        <f>VLOOKUP(F2024,辅助信息!A:B,2,FALSE)</f>
        <v>盘螺</v>
      </c>
      <c r="F2024" s="120" t="s">
        <v>41</v>
      </c>
      <c r="G2024" s="121">
        <v>10</v>
      </c>
      <c r="H2024" s="134">
        <f>_xlfn.XLOOKUP(C2024&amp;F2024&amp;I2024&amp;J2024,'[1]2025年已发货'!$F:$F&amp;'[1]2025年已发货'!$C:$C&amp;'[1]2025年已发货'!$G:$G&amp;'[1]2025年已发货'!$H:$H,'[1]2025年已发货'!$E:$E,"未发货")</f>
        <v>10</v>
      </c>
      <c r="I2024" s="120" t="str">
        <f>VLOOKUP(B2024,辅助信息!E:I,3,FALSE)</f>
        <v>(五冶建设扩建艺体中学二期工程)四川省成都市双流区光荣路成都艺体中学南200米</v>
      </c>
      <c r="J2024" s="120" t="str">
        <f>VLOOKUP(B2024,辅助信息!E:I,4,FALSE)</f>
        <v>谢序强</v>
      </c>
      <c r="K2024" s="120">
        <f>VLOOKUP(J2024,辅助信息!H:I,2,FALSE)</f>
        <v>13458588232</v>
      </c>
      <c r="L2024" s="122"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1">
        <v>45835</v>
      </c>
      <c r="O2024" s="62">
        <f ca="1" t="shared" si="135"/>
        <v>0</v>
      </c>
      <c r="P2024" s="62">
        <f ca="1" t="shared" si="136"/>
        <v>125</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0" t="s">
        <v>167</v>
      </c>
      <c r="C2025" s="70">
        <v>45835</v>
      </c>
      <c r="D2025" s="120" t="str">
        <f>VLOOKUP(B2025,辅助信息!E:K,7,FALSE)</f>
        <v>JWDDCD2025102100473</v>
      </c>
      <c r="E2025" s="120" t="str">
        <f>VLOOKUP(F2025,辅助信息!A:B,2,FALSE)</f>
        <v>螺纹钢</v>
      </c>
      <c r="F2025" s="120" t="s">
        <v>19</v>
      </c>
      <c r="G2025" s="121">
        <v>33</v>
      </c>
      <c r="H2025" s="134">
        <f>_xlfn.XLOOKUP(C2025&amp;F2025&amp;I2025&amp;J2025,'[1]2025年已发货'!$F:$F&amp;'[1]2025年已发货'!$C:$C&amp;'[1]2025年已发货'!$G:$G&amp;'[1]2025年已发货'!$H:$H,'[1]2025年已发货'!$E:$E,"未发货")</f>
        <v>28</v>
      </c>
      <c r="I2025" s="120" t="str">
        <f>VLOOKUP(B2025,辅助信息!E:I,3,FALSE)</f>
        <v>(五冶建设扩建艺体中学二期工程)四川省成都市双流区光荣路成都艺体中学南200米</v>
      </c>
      <c r="J2025" s="120" t="str">
        <f>VLOOKUP(B2025,辅助信息!E:I,4,FALSE)</f>
        <v>谢序强</v>
      </c>
      <c r="K2025" s="120">
        <f>VLOOKUP(J2025,辅助信息!H:I,2,FALSE)</f>
        <v>13458588232</v>
      </c>
      <c r="L2025" s="122"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1">
        <v>45835</v>
      </c>
      <c r="O2025" s="62">
        <f ca="1" t="shared" si="135"/>
        <v>0</v>
      </c>
      <c r="P2025" s="62">
        <f ca="1" t="shared" si="136"/>
        <v>125</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0" t="s">
        <v>167</v>
      </c>
      <c r="C2026" s="70">
        <v>45835</v>
      </c>
      <c r="D2026" s="120" t="str">
        <f>VLOOKUP(B2026,辅助信息!E:K,7,FALSE)</f>
        <v>JWDDCD2025102100473</v>
      </c>
      <c r="E2026" s="120" t="str">
        <f>VLOOKUP(F2026,辅助信息!A:B,2,FALSE)</f>
        <v>螺纹钢</v>
      </c>
      <c r="F2026" s="120" t="s">
        <v>32</v>
      </c>
      <c r="G2026" s="121">
        <v>24</v>
      </c>
      <c r="H2026" s="134">
        <f>_xlfn.XLOOKUP(C2026&amp;F2026&amp;I2026&amp;J2026,'[1]2025年已发货'!$F:$F&amp;'[1]2025年已发货'!$C:$C&amp;'[1]2025年已发货'!$G:$G&amp;'[1]2025年已发货'!$H:$H,'[1]2025年已发货'!$E:$E,"未发货")</f>
        <v>24</v>
      </c>
      <c r="I2026" s="120" t="str">
        <f>VLOOKUP(B2026,辅助信息!E:I,3,FALSE)</f>
        <v>(五冶建设扩建艺体中学二期工程)四川省成都市双流区光荣路成都艺体中学南200米</v>
      </c>
      <c r="J2026" s="120" t="str">
        <f>VLOOKUP(B2026,辅助信息!E:I,4,FALSE)</f>
        <v>谢序强</v>
      </c>
      <c r="K2026" s="120">
        <f>VLOOKUP(J2026,辅助信息!H:I,2,FALSE)</f>
        <v>13458588232</v>
      </c>
      <c r="L2026" s="122"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1">
        <v>45835</v>
      </c>
      <c r="O2026" s="62">
        <f ca="1" t="shared" si="135"/>
        <v>0</v>
      </c>
      <c r="P2026" s="62">
        <f ca="1" t="shared" si="136"/>
        <v>125</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0" t="s">
        <v>167</v>
      </c>
      <c r="C2027" s="70">
        <v>45835</v>
      </c>
      <c r="D2027" s="120" t="str">
        <f>VLOOKUP(B2027,辅助信息!E:K,7,FALSE)</f>
        <v>JWDDCD2025102100473</v>
      </c>
      <c r="E2027" s="120" t="str">
        <f>VLOOKUP(F2027,辅助信息!A:B,2,FALSE)</f>
        <v>螺纹钢</v>
      </c>
      <c r="F2027" s="120" t="s">
        <v>30</v>
      </c>
      <c r="G2027" s="121">
        <v>6</v>
      </c>
      <c r="H2027" s="134">
        <f>_xlfn.XLOOKUP(C2027&amp;F2027&amp;I2027&amp;J2027,'[1]2025年已发货'!$F:$F&amp;'[1]2025年已发货'!$C:$C&amp;'[1]2025年已发货'!$G:$G&amp;'[1]2025年已发货'!$H:$H,'[1]2025年已发货'!$E:$E,"未发货")</f>
        <v>6</v>
      </c>
      <c r="I2027" s="120" t="str">
        <f>VLOOKUP(B2027,辅助信息!E:I,3,FALSE)</f>
        <v>(五冶建设扩建艺体中学二期工程)四川省成都市双流区光荣路成都艺体中学南200米</v>
      </c>
      <c r="J2027" s="120" t="str">
        <f>VLOOKUP(B2027,辅助信息!E:I,4,FALSE)</f>
        <v>谢序强</v>
      </c>
      <c r="K2027" s="120">
        <f>VLOOKUP(J2027,辅助信息!H:I,2,FALSE)</f>
        <v>13458588232</v>
      </c>
      <c r="L2027" s="122"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1">
        <v>45835</v>
      </c>
      <c r="O2027" s="62">
        <f ca="1" t="shared" si="135"/>
        <v>0</v>
      </c>
      <c r="P2027" s="62">
        <f ca="1" t="shared" si="136"/>
        <v>125</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0" t="s">
        <v>167</v>
      </c>
      <c r="C2028" s="70">
        <v>45835</v>
      </c>
      <c r="D2028" s="120" t="str">
        <f>VLOOKUP(B2028,辅助信息!E:K,7,FALSE)</f>
        <v>JWDDCD2025102100473</v>
      </c>
      <c r="E2028" s="120" t="str">
        <f>VLOOKUP(F2028,辅助信息!A:B,2,FALSE)</f>
        <v>螺纹钢</v>
      </c>
      <c r="F2028" s="120" t="s">
        <v>33</v>
      </c>
      <c r="G2028" s="121">
        <v>15</v>
      </c>
      <c r="H2028" s="134">
        <f>_xlfn.XLOOKUP(C2028&amp;F2028&amp;I2028&amp;J2028,'[1]2025年已发货'!$F:$F&amp;'[1]2025年已发货'!$C:$C&amp;'[1]2025年已发货'!$G:$G&amp;'[1]2025年已发货'!$H:$H,'[1]2025年已发货'!$E:$E,"未发货")</f>
        <v>15</v>
      </c>
      <c r="I2028" s="120" t="str">
        <f>VLOOKUP(B2028,辅助信息!E:I,3,FALSE)</f>
        <v>(五冶建设扩建艺体中学二期工程)四川省成都市双流区光荣路成都艺体中学南200米</v>
      </c>
      <c r="J2028" s="120" t="str">
        <f>VLOOKUP(B2028,辅助信息!E:I,4,FALSE)</f>
        <v>谢序强</v>
      </c>
      <c r="K2028" s="120">
        <f>VLOOKUP(J2028,辅助信息!H:I,2,FALSE)</f>
        <v>13458588232</v>
      </c>
      <c r="L2028" s="122"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1">
        <v>45835</v>
      </c>
      <c r="O2028" s="62">
        <f ca="1" t="shared" si="135"/>
        <v>0</v>
      </c>
      <c r="P2028" s="62">
        <f ca="1" t="shared" si="136"/>
        <v>125</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0" t="s">
        <v>167</v>
      </c>
      <c r="C2029" s="70">
        <v>45835</v>
      </c>
      <c r="D2029" s="120" t="str">
        <f>VLOOKUP(B2029,辅助信息!E:K,7,FALSE)</f>
        <v>JWDDCD2025102100473</v>
      </c>
      <c r="E2029" s="120" t="str">
        <f>VLOOKUP(F2029,辅助信息!A:B,2,FALSE)</f>
        <v>螺纹钢</v>
      </c>
      <c r="F2029" s="120" t="s">
        <v>28</v>
      </c>
      <c r="G2029" s="121">
        <v>15</v>
      </c>
      <c r="H2029" s="134">
        <f>_xlfn.XLOOKUP(C2029&amp;F2029&amp;I2029&amp;J2029,'[1]2025年已发货'!$F:$F&amp;'[1]2025年已发货'!$C:$C&amp;'[1]2025年已发货'!$G:$G&amp;'[1]2025年已发货'!$H:$H,'[1]2025年已发货'!$E:$E,"未发货")</f>
        <v>15</v>
      </c>
      <c r="I2029" s="120" t="str">
        <f>VLOOKUP(B2029,辅助信息!E:I,3,FALSE)</f>
        <v>(五冶建设扩建艺体中学二期工程)四川省成都市双流区光荣路成都艺体中学南200米</v>
      </c>
      <c r="J2029" s="120" t="str">
        <f>VLOOKUP(B2029,辅助信息!E:I,4,FALSE)</f>
        <v>谢序强</v>
      </c>
      <c r="K2029" s="120">
        <f>VLOOKUP(J2029,辅助信息!H:I,2,FALSE)</f>
        <v>13458588232</v>
      </c>
      <c r="L2029" s="122"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1">
        <v>45835</v>
      </c>
      <c r="O2029" s="62">
        <f ca="1" t="shared" si="135"/>
        <v>0</v>
      </c>
      <c r="P2029" s="62">
        <f ca="1" t="shared" si="136"/>
        <v>125</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1" t="s">
        <v>183</v>
      </c>
      <c r="B2030" s="40" t="s">
        <v>81</v>
      </c>
      <c r="C2030" s="70">
        <v>45835</v>
      </c>
      <c r="D2030" s="120" t="str">
        <f>VLOOKUP(B2030,辅助信息!E:K,7,FALSE)</f>
        <v>JWDDCD2025060900080</v>
      </c>
      <c r="E2030" s="120" t="str">
        <f>VLOOKUP(F2030,辅助信息!A:B,2,FALSE)</f>
        <v>盘螺</v>
      </c>
      <c r="F2030" s="40" t="s">
        <v>40</v>
      </c>
      <c r="G2030" s="36">
        <v>13</v>
      </c>
      <c r="H2030" s="134">
        <f>_xlfn.XLOOKUP(C2030&amp;F2030&amp;I2030&amp;J2030,'[1]2025年已发货'!$F:$F&amp;'[1]2025年已发货'!$C:$C&amp;'[1]2025年已发货'!$G:$G&amp;'[1]2025年已发货'!$H:$H,'[1]2025年已发货'!$E:$E,"未发货")</f>
        <v>13</v>
      </c>
      <c r="I2030" s="120" t="str">
        <f>VLOOKUP(B2030,辅助信息!E:I,3,FALSE)</f>
        <v>（华西简阳西城嘉苑）四川省成都市简阳市简城街道高屋村</v>
      </c>
      <c r="J2030" s="120" t="str">
        <f>VLOOKUP(B2030,辅助信息!E:I,4,FALSE)</f>
        <v>张瀚镭</v>
      </c>
      <c r="K2030" s="120">
        <f>VLOOKUP(J2030,辅助信息!H:I,2,FALSE)</f>
        <v>15884666220</v>
      </c>
      <c r="L2030" s="122" t="str">
        <f>VLOOKUP(B2030,辅助信息!E:J,6,FALSE)</f>
        <v>现场禁止使用氢能源挂车！优先威钢发货,我方卸车,新老国标钢厂不加价可直发，因陕钢多次出现磅差，项目拒绝使用</v>
      </c>
      <c r="M2030" s="91">
        <v>45835</v>
      </c>
      <c r="O2030" s="62">
        <f ca="1" t="shared" si="135"/>
        <v>0</v>
      </c>
      <c r="P2030" s="62">
        <f ca="1" t="shared" si="136"/>
        <v>125</v>
      </c>
      <c r="Q2030" s="29" t="str">
        <f>VLOOKUP(B2030,辅助信息!E:M,9,FALSE)</f>
        <v>ZTWM-CDGS-XS-2024-0030-华西集采-简州大道</v>
      </c>
      <c r="R2030" s="29" t="str">
        <f>_xlfn._xlws.FILTER(辅助信息!D:D,辅助信息!E:E=B2030)</f>
        <v>华西简阳西城嘉苑</v>
      </c>
    </row>
    <row r="2031" hidden="1" spans="1:18">
      <c r="A2031" s="71"/>
      <c r="B2031" s="40" t="s">
        <v>81</v>
      </c>
      <c r="C2031" s="70">
        <v>45835</v>
      </c>
      <c r="D2031" s="120" t="str">
        <f>VLOOKUP(B2031,辅助信息!E:K,7,FALSE)</f>
        <v>JWDDCD2025060900080</v>
      </c>
      <c r="E2031" s="120" t="str">
        <f>VLOOKUP(F2031,辅助信息!A:B,2,FALSE)</f>
        <v>盘螺</v>
      </c>
      <c r="F2031" s="40" t="s">
        <v>41</v>
      </c>
      <c r="G2031" s="36">
        <v>13</v>
      </c>
      <c r="H2031" s="134">
        <f>_xlfn.XLOOKUP(C2031&amp;F2031&amp;I2031&amp;J2031,'[1]2025年已发货'!$F:$F&amp;'[1]2025年已发货'!$C:$C&amp;'[1]2025年已发货'!$G:$G&amp;'[1]2025年已发货'!$H:$H,'[1]2025年已发货'!$E:$E,"未发货")</f>
        <v>14</v>
      </c>
      <c r="I2031" s="120" t="str">
        <f>VLOOKUP(B2031,辅助信息!E:I,3,FALSE)</f>
        <v>（华西简阳西城嘉苑）四川省成都市简阳市简城街道高屋村</v>
      </c>
      <c r="J2031" s="120" t="str">
        <f>VLOOKUP(B2031,辅助信息!E:I,4,FALSE)</f>
        <v>张瀚镭</v>
      </c>
      <c r="K2031" s="120">
        <f>VLOOKUP(J2031,辅助信息!H:I,2,FALSE)</f>
        <v>15884666220</v>
      </c>
      <c r="L2031" s="122" t="str">
        <f>VLOOKUP(B2031,辅助信息!E:J,6,FALSE)</f>
        <v>现场禁止使用氢能源挂车！优先威钢发货,我方卸车,新老国标钢厂不加价可直发，因陕钢多次出现磅差，项目拒绝使用</v>
      </c>
      <c r="M2031" s="91">
        <v>45835</v>
      </c>
      <c r="O2031" s="62">
        <f ca="1" t="shared" si="135"/>
        <v>0</v>
      </c>
      <c r="P2031" s="62">
        <f ca="1" t="shared" si="136"/>
        <v>125</v>
      </c>
      <c r="Q2031" s="29" t="str">
        <f>VLOOKUP(B2031,辅助信息!E:M,9,FALSE)</f>
        <v>ZTWM-CDGS-XS-2024-0030-华西集采-简州大道</v>
      </c>
      <c r="R2031" s="29" t="str">
        <f>_xlfn._xlws.FILTER(辅助信息!D:D,辅助信息!E:E=B2031)</f>
        <v>华西简阳西城嘉苑</v>
      </c>
    </row>
    <row r="2032" hidden="1" spans="1:18">
      <c r="A2032" s="71"/>
      <c r="B2032" s="40" t="s">
        <v>81</v>
      </c>
      <c r="C2032" s="70">
        <v>45835</v>
      </c>
      <c r="D2032" s="120" t="str">
        <f>VLOOKUP(B2032,辅助信息!E:K,7,FALSE)</f>
        <v>JWDDCD2025060900080</v>
      </c>
      <c r="E2032" s="120" t="str">
        <f>VLOOKUP(F2032,辅助信息!A:B,2,FALSE)</f>
        <v>盘螺</v>
      </c>
      <c r="F2032" s="40" t="s">
        <v>26</v>
      </c>
      <c r="G2032" s="36">
        <v>3</v>
      </c>
      <c r="H2032" s="134">
        <f>_xlfn.XLOOKUP(C2032&amp;F2032&amp;I2032&amp;J2032,'[1]2025年已发货'!$F:$F&amp;'[1]2025年已发货'!$C:$C&amp;'[1]2025年已发货'!$G:$G&amp;'[1]2025年已发货'!$H:$H,'[1]2025年已发货'!$E:$E,"未发货")</f>
        <v>3</v>
      </c>
      <c r="I2032" s="120" t="str">
        <f>VLOOKUP(B2032,辅助信息!E:I,3,FALSE)</f>
        <v>（华西简阳西城嘉苑）四川省成都市简阳市简城街道高屋村</v>
      </c>
      <c r="J2032" s="120" t="str">
        <f>VLOOKUP(B2032,辅助信息!E:I,4,FALSE)</f>
        <v>张瀚镭</v>
      </c>
      <c r="K2032" s="120">
        <f>VLOOKUP(J2032,辅助信息!H:I,2,FALSE)</f>
        <v>15884666220</v>
      </c>
      <c r="L2032" s="122" t="str">
        <f>VLOOKUP(B2032,辅助信息!E:J,6,FALSE)</f>
        <v>现场禁止使用氢能源挂车！优先威钢发货,我方卸车,新老国标钢厂不加价可直发，因陕钢多次出现磅差，项目拒绝使用</v>
      </c>
      <c r="M2032" s="91">
        <v>45835</v>
      </c>
      <c r="O2032" s="62">
        <f ca="1" t="shared" si="135"/>
        <v>0</v>
      </c>
      <c r="P2032" s="62">
        <f ca="1" t="shared" si="136"/>
        <v>125</v>
      </c>
      <c r="Q2032" s="29" t="str">
        <f>VLOOKUP(B2032,辅助信息!E:M,9,FALSE)</f>
        <v>ZTWM-CDGS-XS-2024-0030-华西集采-简州大道</v>
      </c>
      <c r="R2032" s="29" t="str">
        <f>_xlfn._xlws.FILTER(辅助信息!D:D,辅助信息!E:E=B2032)</f>
        <v>华西简阳西城嘉苑</v>
      </c>
    </row>
    <row r="2033" hidden="1" spans="1:18">
      <c r="A2033" s="71"/>
      <c r="B2033" s="40" t="s">
        <v>81</v>
      </c>
      <c r="C2033" s="70">
        <v>45835</v>
      </c>
      <c r="D2033" s="120" t="str">
        <f>VLOOKUP(B2033,辅助信息!E:K,7,FALSE)</f>
        <v>JWDDCD2025060900080</v>
      </c>
      <c r="E2033" s="120" t="str">
        <f>VLOOKUP(F2033,辅助信息!A:B,2,FALSE)</f>
        <v>螺纹钢</v>
      </c>
      <c r="F2033" s="40" t="s">
        <v>19</v>
      </c>
      <c r="G2033" s="36">
        <v>6</v>
      </c>
      <c r="H2033" s="134">
        <f>_xlfn.XLOOKUP(C2033&amp;F2033&amp;I2033&amp;J2033,'[1]2025年已发货'!$F:$F&amp;'[1]2025年已发货'!$C:$C&amp;'[1]2025年已发货'!$G:$G&amp;'[1]2025年已发货'!$H:$H,'[1]2025年已发货'!$E:$E,"未发货")</f>
        <v>6</v>
      </c>
      <c r="I2033" s="120" t="str">
        <f>VLOOKUP(B2033,辅助信息!E:I,3,FALSE)</f>
        <v>（华西简阳西城嘉苑）四川省成都市简阳市简城街道高屋村</v>
      </c>
      <c r="J2033" s="120" t="str">
        <f>VLOOKUP(B2033,辅助信息!E:I,4,FALSE)</f>
        <v>张瀚镭</v>
      </c>
      <c r="K2033" s="120">
        <f>VLOOKUP(J2033,辅助信息!H:I,2,FALSE)</f>
        <v>15884666220</v>
      </c>
      <c r="L2033" s="122" t="str">
        <f>VLOOKUP(B2033,辅助信息!E:J,6,FALSE)</f>
        <v>现场禁止使用氢能源挂车！优先威钢发货,我方卸车,新老国标钢厂不加价可直发，因陕钢多次出现磅差，项目拒绝使用</v>
      </c>
      <c r="M2033" s="91">
        <v>45835</v>
      </c>
      <c r="O2033" s="62">
        <f ca="1" t="shared" si="135"/>
        <v>0</v>
      </c>
      <c r="P2033" s="62">
        <f ca="1" t="shared" si="136"/>
        <v>125</v>
      </c>
      <c r="Q2033" s="29" t="str">
        <f>VLOOKUP(B2033,辅助信息!E:M,9,FALSE)</f>
        <v>ZTWM-CDGS-XS-2024-0030-华西集采-简州大道</v>
      </c>
      <c r="R2033" s="29" t="str">
        <f>_xlfn._xlws.FILTER(辅助信息!D:D,辅助信息!E:E=B2033)</f>
        <v>华西简阳西城嘉苑</v>
      </c>
    </row>
    <row r="2034" hidden="1" spans="1:18">
      <c r="A2034" s="71"/>
      <c r="B2034" s="40" t="s">
        <v>81</v>
      </c>
      <c r="C2034" s="70">
        <v>45835</v>
      </c>
      <c r="D2034" s="120" t="str">
        <f>VLOOKUP(B2034,辅助信息!E:K,7,FALSE)</f>
        <v>JWDDCD2025060900080</v>
      </c>
      <c r="E2034" s="120" t="str">
        <f>VLOOKUP(F2034,辅助信息!A:B,2,FALSE)</f>
        <v>螺纹钢</v>
      </c>
      <c r="F2034" s="40" t="s">
        <v>32</v>
      </c>
      <c r="G2034" s="36">
        <v>6</v>
      </c>
      <c r="H2034" s="134">
        <f>_xlfn.XLOOKUP(C2034&amp;F2034&amp;I2034&amp;J2034,'[1]2025年已发货'!$F:$F&amp;'[1]2025年已发货'!$C:$C&amp;'[1]2025年已发货'!$G:$G&amp;'[1]2025年已发货'!$H:$H,'[1]2025年已发货'!$E:$E,"未发货")</f>
        <v>6</v>
      </c>
      <c r="I2034" s="120" t="str">
        <f>VLOOKUP(B2034,辅助信息!E:I,3,FALSE)</f>
        <v>（华西简阳西城嘉苑）四川省成都市简阳市简城街道高屋村</v>
      </c>
      <c r="J2034" s="120" t="str">
        <f>VLOOKUP(B2034,辅助信息!E:I,4,FALSE)</f>
        <v>张瀚镭</v>
      </c>
      <c r="K2034" s="120">
        <f>VLOOKUP(J2034,辅助信息!H:I,2,FALSE)</f>
        <v>15884666220</v>
      </c>
      <c r="L2034" s="122" t="str">
        <f>VLOOKUP(B2034,辅助信息!E:J,6,FALSE)</f>
        <v>现场禁止使用氢能源挂车！优先威钢发货,我方卸车,新老国标钢厂不加价可直发，因陕钢多次出现磅差，项目拒绝使用</v>
      </c>
      <c r="M2034" s="91">
        <v>45835</v>
      </c>
      <c r="O2034" s="62">
        <f ca="1" t="shared" si="135"/>
        <v>0</v>
      </c>
      <c r="P2034" s="62">
        <f ca="1" t="shared" si="136"/>
        <v>125</v>
      </c>
      <c r="Q2034" s="29" t="str">
        <f>VLOOKUP(B2034,辅助信息!E:M,9,FALSE)</f>
        <v>ZTWM-CDGS-XS-2024-0030-华西集采-简州大道</v>
      </c>
      <c r="R2034" s="29" t="str">
        <f>_xlfn._xlws.FILTER(辅助信息!D:D,辅助信息!E:E=B2034)</f>
        <v>华西简阳西城嘉苑</v>
      </c>
    </row>
    <row r="2035" hidden="1" spans="1:18">
      <c r="A2035" s="71"/>
      <c r="B2035" s="40" t="s">
        <v>81</v>
      </c>
      <c r="C2035" s="70">
        <v>45835</v>
      </c>
      <c r="D2035" s="120" t="str">
        <f>VLOOKUP(B2035,辅助信息!E:K,7,FALSE)</f>
        <v>JWDDCD2025060900080</v>
      </c>
      <c r="E2035" s="120" t="str">
        <f>VLOOKUP(F2035,辅助信息!A:B,2,FALSE)</f>
        <v>螺纹钢</v>
      </c>
      <c r="F2035" s="40" t="s">
        <v>30</v>
      </c>
      <c r="G2035" s="36">
        <v>6</v>
      </c>
      <c r="H2035" s="134">
        <f>_xlfn.XLOOKUP(C2035&amp;F2035&amp;I2035&amp;J2035,'[1]2025年已发货'!$F:$F&amp;'[1]2025年已发货'!$C:$C&amp;'[1]2025年已发货'!$G:$G&amp;'[1]2025年已发货'!$H:$H,'[1]2025年已发货'!$E:$E,"未发货")</f>
        <v>6</v>
      </c>
      <c r="I2035" s="120" t="str">
        <f>VLOOKUP(B2035,辅助信息!E:I,3,FALSE)</f>
        <v>（华西简阳西城嘉苑）四川省成都市简阳市简城街道高屋村</v>
      </c>
      <c r="J2035" s="120" t="str">
        <f>VLOOKUP(B2035,辅助信息!E:I,4,FALSE)</f>
        <v>张瀚镭</v>
      </c>
      <c r="K2035" s="120">
        <f>VLOOKUP(J2035,辅助信息!H:I,2,FALSE)</f>
        <v>15884666220</v>
      </c>
      <c r="L2035" s="122" t="str">
        <f>VLOOKUP(B2035,辅助信息!E:J,6,FALSE)</f>
        <v>现场禁止使用氢能源挂车！优先威钢发货,我方卸车,新老国标钢厂不加价可直发，因陕钢多次出现磅差，项目拒绝使用</v>
      </c>
      <c r="M2035" s="91">
        <v>45835</v>
      </c>
      <c r="O2035" s="62">
        <f ca="1" t="shared" si="135"/>
        <v>0</v>
      </c>
      <c r="P2035" s="62">
        <f ca="1" t="shared" si="136"/>
        <v>125</v>
      </c>
      <c r="Q2035" s="29" t="str">
        <f>VLOOKUP(B2035,辅助信息!E:M,9,FALSE)</f>
        <v>ZTWM-CDGS-XS-2024-0030-华西集采-简州大道</v>
      </c>
      <c r="R2035" s="29" t="str">
        <f>_xlfn._xlws.FILTER(辅助信息!D:D,辅助信息!E:E=B2035)</f>
        <v>华西简阳西城嘉苑</v>
      </c>
    </row>
    <row r="2036" hidden="1" spans="1:18">
      <c r="A2036" s="71"/>
      <c r="B2036" s="40" t="s">
        <v>81</v>
      </c>
      <c r="C2036" s="70">
        <v>45835</v>
      </c>
      <c r="D2036" s="120" t="str">
        <f>VLOOKUP(B2036,辅助信息!E:K,7,FALSE)</f>
        <v>JWDDCD2025060900080</v>
      </c>
      <c r="E2036" s="120" t="str">
        <f>VLOOKUP(F2036,辅助信息!A:B,2,FALSE)</f>
        <v>螺纹钢</v>
      </c>
      <c r="F2036" s="40" t="s">
        <v>33</v>
      </c>
      <c r="G2036" s="36">
        <v>3</v>
      </c>
      <c r="H2036" s="134">
        <f>_xlfn.XLOOKUP(C2036&amp;F2036&amp;I2036&amp;J2036,'[1]2025年已发货'!$F:$F&amp;'[1]2025年已发货'!$C:$C&amp;'[1]2025年已发货'!$G:$G&amp;'[1]2025年已发货'!$H:$H,'[1]2025年已发货'!$E:$E,"未发货")</f>
        <v>3</v>
      </c>
      <c r="I2036" s="120" t="str">
        <f>VLOOKUP(B2036,辅助信息!E:I,3,FALSE)</f>
        <v>（华西简阳西城嘉苑）四川省成都市简阳市简城街道高屋村</v>
      </c>
      <c r="J2036" s="120" t="str">
        <f>VLOOKUP(B2036,辅助信息!E:I,4,FALSE)</f>
        <v>张瀚镭</v>
      </c>
      <c r="K2036" s="120">
        <f>VLOOKUP(J2036,辅助信息!H:I,2,FALSE)</f>
        <v>15884666220</v>
      </c>
      <c r="L2036" s="122" t="str">
        <f>VLOOKUP(B2036,辅助信息!E:J,6,FALSE)</f>
        <v>现场禁止使用氢能源挂车！优先威钢发货,我方卸车,新老国标钢厂不加价可直发，因陕钢多次出现磅差，项目拒绝使用</v>
      </c>
      <c r="M2036" s="91">
        <v>45835</v>
      </c>
      <c r="O2036" s="62">
        <f ca="1" t="shared" si="135"/>
        <v>0</v>
      </c>
      <c r="P2036" s="62">
        <f ca="1" t="shared" si="136"/>
        <v>125</v>
      </c>
      <c r="Q2036" s="29" t="str">
        <f>VLOOKUP(B2036,辅助信息!E:M,9,FALSE)</f>
        <v>ZTWM-CDGS-XS-2024-0030-华西集采-简州大道</v>
      </c>
      <c r="R2036" s="29" t="str">
        <f>_xlfn._xlws.FILTER(辅助信息!D:D,辅助信息!E:E=B2036)</f>
        <v>华西简阳西城嘉苑</v>
      </c>
    </row>
    <row r="2037" hidden="1" spans="1:18">
      <c r="A2037" s="71"/>
      <c r="B2037" s="40" t="s">
        <v>81</v>
      </c>
      <c r="C2037" s="70">
        <v>45835</v>
      </c>
      <c r="D2037" s="120" t="str">
        <f>VLOOKUP(B2037,辅助信息!E:K,7,FALSE)</f>
        <v>JWDDCD2025060900080</v>
      </c>
      <c r="E2037" s="120" t="str">
        <f>VLOOKUP(F2037,辅助信息!A:B,2,FALSE)</f>
        <v>螺纹钢</v>
      </c>
      <c r="F2037" s="40" t="s">
        <v>58</v>
      </c>
      <c r="G2037" s="36">
        <v>10</v>
      </c>
      <c r="H2037" s="134">
        <f>_xlfn.XLOOKUP(C2037&amp;F2037&amp;I2037&amp;J2037,'[1]2025年已发货'!$F:$F&amp;'[1]2025年已发货'!$C:$C&amp;'[1]2025年已发货'!$G:$G&amp;'[1]2025年已发货'!$H:$H,'[1]2025年已发货'!$E:$E,"未发货")</f>
        <v>10</v>
      </c>
      <c r="I2037" s="120" t="str">
        <f>VLOOKUP(B2037,辅助信息!E:I,3,FALSE)</f>
        <v>（华西简阳西城嘉苑）四川省成都市简阳市简城街道高屋村</v>
      </c>
      <c r="J2037" s="120" t="str">
        <f>VLOOKUP(B2037,辅助信息!E:I,4,FALSE)</f>
        <v>张瀚镭</v>
      </c>
      <c r="K2037" s="120">
        <f>VLOOKUP(J2037,辅助信息!H:I,2,FALSE)</f>
        <v>15884666220</v>
      </c>
      <c r="L2037" s="122" t="str">
        <f>VLOOKUP(B2037,辅助信息!E:J,6,FALSE)</f>
        <v>现场禁止使用氢能源挂车！优先威钢发货,我方卸车,新老国标钢厂不加价可直发，因陕钢多次出现磅差，项目拒绝使用</v>
      </c>
      <c r="M2037" s="91">
        <v>45835</v>
      </c>
      <c r="O2037" s="62">
        <f ca="1" t="shared" si="135"/>
        <v>0</v>
      </c>
      <c r="P2037" s="62">
        <f ca="1" t="shared" si="136"/>
        <v>125</v>
      </c>
      <c r="Q2037" s="29" t="str">
        <f>VLOOKUP(B2037,辅助信息!E:M,9,FALSE)</f>
        <v>ZTWM-CDGS-XS-2024-0030-华西集采-简州大道</v>
      </c>
      <c r="R2037" s="29" t="str">
        <f>_xlfn._xlws.FILTER(辅助信息!D:D,辅助信息!E:E=B2037)</f>
        <v>华西简阳西城嘉苑</v>
      </c>
    </row>
    <row r="2038" hidden="1" spans="1:18">
      <c r="A2038" s="71"/>
      <c r="B2038" s="40" t="s">
        <v>81</v>
      </c>
      <c r="C2038" s="70">
        <v>45835</v>
      </c>
      <c r="D2038" s="120" t="str">
        <f>VLOOKUP(B2038,辅助信息!E:K,7,FALSE)</f>
        <v>JWDDCD2025060900080</v>
      </c>
      <c r="E2038" s="120" t="str">
        <f>VLOOKUP(F2038,辅助信息!A:B,2,FALSE)</f>
        <v>螺纹钢</v>
      </c>
      <c r="F2038" s="40" t="s">
        <v>46</v>
      </c>
      <c r="G2038" s="36">
        <v>6</v>
      </c>
      <c r="H2038" s="134">
        <f>_xlfn.XLOOKUP(C2038&amp;F2038&amp;I2038&amp;J2038,'[1]2025年已发货'!$F:$F&amp;'[1]2025年已发货'!$C:$C&amp;'[1]2025年已发货'!$G:$G&amp;'[1]2025年已发货'!$H:$H,'[1]2025年已发货'!$E:$E,"未发货")</f>
        <v>6</v>
      </c>
      <c r="I2038" s="120" t="str">
        <f>VLOOKUP(B2038,辅助信息!E:I,3,FALSE)</f>
        <v>（华西简阳西城嘉苑）四川省成都市简阳市简城街道高屋村</v>
      </c>
      <c r="J2038" s="120" t="str">
        <f>VLOOKUP(B2038,辅助信息!E:I,4,FALSE)</f>
        <v>张瀚镭</v>
      </c>
      <c r="K2038" s="120">
        <f>VLOOKUP(J2038,辅助信息!H:I,2,FALSE)</f>
        <v>15884666220</v>
      </c>
      <c r="L2038" s="122" t="str">
        <f>VLOOKUP(B2038,辅助信息!E:J,6,FALSE)</f>
        <v>现场禁止使用氢能源挂车！优先威钢发货,我方卸车,新老国标钢厂不加价可直发，因陕钢多次出现磅差，项目拒绝使用</v>
      </c>
      <c r="M2038" s="91">
        <v>45835</v>
      </c>
      <c r="O2038" s="62">
        <f ca="1" t="shared" si="135"/>
        <v>0</v>
      </c>
      <c r="P2038" s="62">
        <f ca="1" t="shared" si="136"/>
        <v>125</v>
      </c>
      <c r="Q2038" s="29" t="str">
        <f>VLOOKUP(B2038,辅助信息!E:M,9,FALSE)</f>
        <v>ZTWM-CDGS-XS-2024-0030-华西集采-简州大道</v>
      </c>
      <c r="R2038" s="29" t="str">
        <f>_xlfn._xlws.FILTER(辅助信息!D:D,辅助信息!E:E=B2038)</f>
        <v>华西简阳西城嘉苑</v>
      </c>
    </row>
    <row r="2039" hidden="1" spans="1:18">
      <c r="A2039" s="71"/>
      <c r="B2039" s="40" t="s">
        <v>81</v>
      </c>
      <c r="C2039" s="70">
        <v>45835</v>
      </c>
      <c r="D2039" s="120" t="str">
        <f>VLOOKUP(B2039,辅助信息!E:K,7,FALSE)</f>
        <v>JWDDCD2025060900080</v>
      </c>
      <c r="E2039" s="120" t="str">
        <f>VLOOKUP(F2039,辅助信息!A:B,2,FALSE)</f>
        <v>螺纹钢</v>
      </c>
      <c r="F2039" s="40" t="s">
        <v>22</v>
      </c>
      <c r="G2039" s="36">
        <v>40</v>
      </c>
      <c r="H2039" s="134">
        <v>39</v>
      </c>
      <c r="I2039" s="120" t="str">
        <f>VLOOKUP(B2039,辅助信息!E:I,3,FALSE)</f>
        <v>（华西简阳西城嘉苑）四川省成都市简阳市简城街道高屋村</v>
      </c>
      <c r="J2039" s="120" t="str">
        <f>VLOOKUP(B2039,辅助信息!E:I,4,FALSE)</f>
        <v>张瀚镭</v>
      </c>
      <c r="K2039" s="120">
        <f>VLOOKUP(J2039,辅助信息!H:I,2,FALSE)</f>
        <v>15884666220</v>
      </c>
      <c r="L2039" s="122" t="str">
        <f>VLOOKUP(B2039,辅助信息!E:J,6,FALSE)</f>
        <v>现场禁止使用氢能源挂车！优先威钢发货,我方卸车,新老国标钢厂不加价可直发，因陕钢多次出现磅差，项目拒绝使用</v>
      </c>
      <c r="M2039" s="91">
        <v>45835</v>
      </c>
      <c r="O2039" s="62">
        <f ca="1" t="shared" si="135"/>
        <v>0</v>
      </c>
      <c r="P2039" s="62">
        <f ca="1" t="shared" si="136"/>
        <v>125</v>
      </c>
      <c r="Q2039" s="29" t="str">
        <f>VLOOKUP(B2039,辅助信息!E:M,9,FALSE)</f>
        <v>ZTWM-CDGS-XS-2024-0030-华西集采-简州大道</v>
      </c>
      <c r="R2039" s="29" t="str">
        <f>_xlfn._xlws.FILTER(辅助信息!D:D,辅助信息!E:E=B2039)</f>
        <v>华西简阳西城嘉苑</v>
      </c>
    </row>
    <row r="2040" hidden="1" spans="2:18">
      <c r="B2040" s="40" t="s">
        <v>159</v>
      </c>
      <c r="C2040" s="70">
        <v>45835</v>
      </c>
      <c r="D2040" s="120" t="str">
        <f>VLOOKUP(B2040,辅助信息!E:K,7,FALSE)</f>
        <v>JWDDCD2025052800131</v>
      </c>
      <c r="E2040" s="120" t="str">
        <f>VLOOKUP(F2040,辅助信息!A:B,2,FALSE)</f>
        <v>盘螺</v>
      </c>
      <c r="F2040" s="40" t="s">
        <v>40</v>
      </c>
      <c r="G2040" s="36">
        <v>20</v>
      </c>
      <c r="H2040" s="134">
        <f>_xlfn.XLOOKUP(C2040&amp;F2040&amp;I2040&amp;J2040,'[1]2025年已发货'!$F:$F&amp;'[1]2025年已发货'!$C:$C&amp;'[1]2025年已发货'!$G:$G&amp;'[1]2025年已发货'!$H:$H,'[1]2025年已发货'!$E:$E,"未发货")</f>
        <v>20</v>
      </c>
      <c r="I2040" s="120" t="str">
        <f>VLOOKUP(B2040,辅助信息!E:I,3,FALSE)</f>
        <v>（商投建工达州中医药科技园-3工区）达州市通川区达州中医药职业学院犀牛大道北段</v>
      </c>
      <c r="J2040" s="120" t="str">
        <f>VLOOKUP(B2040,辅助信息!E:I,4,FALSE)</f>
        <v>程黄刚</v>
      </c>
      <c r="K2040" s="120">
        <f>VLOOKUP(J2040,辅助信息!H:I,2,FALSE)</f>
        <v>15108211617</v>
      </c>
      <c r="L2040" s="122" t="str">
        <f>VLOOKUP(B2040,辅助信息!E:J,6,FALSE)</f>
        <v>控制炉批号！多了现场不收！,优先安排达钢,提前联系到场规格及数量</v>
      </c>
      <c r="M2040" s="91">
        <v>45835</v>
      </c>
      <c r="O2040" s="62">
        <f ca="1" t="shared" si="135"/>
        <v>0</v>
      </c>
      <c r="P2040" s="62">
        <f ca="1" t="shared" si="136"/>
        <v>125</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0">
        <v>45835</v>
      </c>
      <c r="D2041" s="120" t="str">
        <f>VLOOKUP(B2041,辅助信息!E:K,7,FALSE)</f>
        <v>JWDDCD2025052800131</v>
      </c>
      <c r="E2041" s="120" t="str">
        <f>VLOOKUP(F2041,辅助信息!A:B,2,FALSE)</f>
        <v>盘螺</v>
      </c>
      <c r="F2041" s="40" t="s">
        <v>41</v>
      </c>
      <c r="G2041" s="36">
        <v>33</v>
      </c>
      <c r="H2041" s="134">
        <f>_xlfn.XLOOKUP(C2041&amp;F2041&amp;I2041&amp;J2041,'[1]2025年已发货'!$F:$F&amp;'[1]2025年已发货'!$C:$C&amp;'[1]2025年已发货'!$G:$G&amp;'[1]2025年已发货'!$H:$H,'[1]2025年已发货'!$E:$E,"未发货")</f>
        <v>33</v>
      </c>
      <c r="I2041" s="120" t="str">
        <f>VLOOKUP(B2041,辅助信息!E:I,3,FALSE)</f>
        <v>（商投建工达州中医药科技园-3工区）达州市通川区达州中医药职业学院犀牛大道北段</v>
      </c>
      <c r="J2041" s="120" t="str">
        <f>VLOOKUP(B2041,辅助信息!E:I,4,FALSE)</f>
        <v>程黄刚</v>
      </c>
      <c r="K2041" s="120">
        <f>VLOOKUP(J2041,辅助信息!H:I,2,FALSE)</f>
        <v>15108211617</v>
      </c>
      <c r="L2041" s="122" t="str">
        <f>VLOOKUP(B2041,辅助信息!E:J,6,FALSE)</f>
        <v>控制炉批号！多了现场不收！,优先安排达钢,提前联系到场规格及数量</v>
      </c>
      <c r="M2041" s="91">
        <v>45835</v>
      </c>
      <c r="O2041" s="62">
        <f ca="1" t="shared" si="135"/>
        <v>0</v>
      </c>
      <c r="P2041" s="62">
        <f ca="1" t="shared" si="136"/>
        <v>125</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0">
        <v>45835</v>
      </c>
      <c r="D2042" s="120" t="str">
        <f>VLOOKUP(B2042,辅助信息!E:K,7,FALSE)</f>
        <v>JWDDCD2025052800131</v>
      </c>
      <c r="E2042" s="120" t="str">
        <f>VLOOKUP(F2042,辅助信息!A:B,2,FALSE)</f>
        <v>螺纹钢</v>
      </c>
      <c r="F2042" s="40" t="s">
        <v>19</v>
      </c>
      <c r="G2042" s="36">
        <v>46</v>
      </c>
      <c r="H2042" s="134">
        <f>_xlfn.XLOOKUP(C2042&amp;F2042&amp;I2042&amp;J2042,'[1]2025年已发货'!$F:$F&amp;'[1]2025年已发货'!$C:$C&amp;'[1]2025年已发货'!$G:$G&amp;'[1]2025年已发货'!$H:$H,'[1]2025年已发货'!$E:$E,"未发货")</f>
        <v>28</v>
      </c>
      <c r="I2042" s="120" t="str">
        <f>VLOOKUP(B2042,辅助信息!E:I,3,FALSE)</f>
        <v>（商投建工达州中医药科技园-3工区）达州市通川区达州中医药职业学院犀牛大道北段</v>
      </c>
      <c r="J2042" s="120" t="str">
        <f>VLOOKUP(B2042,辅助信息!E:I,4,FALSE)</f>
        <v>程黄刚</v>
      </c>
      <c r="K2042" s="120">
        <f>VLOOKUP(J2042,辅助信息!H:I,2,FALSE)</f>
        <v>15108211617</v>
      </c>
      <c r="L2042" s="122" t="str">
        <f>VLOOKUP(B2042,辅助信息!E:J,6,FALSE)</f>
        <v>控制炉批号！多了现场不收！,优先安排达钢,提前联系到场规格及数量</v>
      </c>
      <c r="M2042" s="91">
        <v>45835</v>
      </c>
      <c r="O2042" s="62">
        <f ca="1" t="shared" si="135"/>
        <v>0</v>
      </c>
      <c r="P2042" s="62">
        <f ca="1" t="shared" si="136"/>
        <v>125</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0">
        <v>45839</v>
      </c>
      <c r="D2043" s="120" t="str">
        <f>VLOOKUP(B2043,辅助信息!E:K,7,FALSE)</f>
        <v>JWDDCD2025062200016</v>
      </c>
      <c r="E2043" s="120" t="str">
        <f>VLOOKUP(F2043,辅助信息!A:B,2,FALSE)</f>
        <v>高线</v>
      </c>
      <c r="F2043" s="40" t="s">
        <v>57</v>
      </c>
      <c r="G2043" s="36">
        <v>2.5</v>
      </c>
      <c r="H2043" s="134" t="str">
        <f>_xlfn.XLOOKUP(C2043&amp;F2043&amp;I2043&amp;J2043,'[1]2025年已发货'!$F:$F&amp;'[1]2025年已发货'!$C:$C&amp;'[1]2025年已发货'!$G:$G&amp;'[1]2025年已发货'!$H:$H,'[1]2025年已发货'!$E:$E,"未发货")</f>
        <v>未发货</v>
      </c>
      <c r="I2043" s="120" t="str">
        <f>VLOOKUP(B2043,辅助信息!E:I,3,FALSE)</f>
        <v>(武汉电气化局成达万高铁强电项目-渠县)四川省达州市渠县渠北镇雷家湾渠县北站旁</v>
      </c>
      <c r="J2043" s="120" t="str">
        <f>VLOOKUP(B2043,辅助信息!E:I,4,FALSE)</f>
        <v>刘频</v>
      </c>
      <c r="K2043" s="120">
        <f>VLOOKUP(J2043,辅助信息!H:I,2,FALSE)</f>
        <v>18779627939</v>
      </c>
      <c r="L2043" s="122" t="str">
        <f>VLOOKUP(B2043,辅助信息!E:J,6,FALSE)</f>
        <v>锈货不收！！下雨天钢筋没盖篷布不收！！，装货前联系收货人核实到场规格,没提前告知进场规格现场不给予接收</v>
      </c>
      <c r="M2043" s="91">
        <v>45838</v>
      </c>
      <c r="O2043" s="62">
        <f ca="1" t="shared" ref="O2043:O2057" si="137">IF(OR(M2043="",N2043&lt;&gt;""),"",MAX(M2043-TODAY(),0))</f>
        <v>0</v>
      </c>
      <c r="P2043" s="62">
        <f ca="1" t="shared" ref="P2043:P2057" si="138">IF(M2043="","",IF(N2043&lt;&gt;"",MAX(N2043-M2043,0),IF(TODAY()&gt;M2043,TODAY()-M2043,0)))</f>
        <v>122</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0">
        <v>45839</v>
      </c>
      <c r="D2044" s="120" t="str">
        <f>VLOOKUP(B2044,辅助信息!E:K,7,FALSE)</f>
        <v>JWDDCD2025062200016</v>
      </c>
      <c r="E2044" s="120" t="str">
        <f>VLOOKUP(F2044,辅助信息!A:B,2,FALSE)</f>
        <v>盘螺</v>
      </c>
      <c r="F2044" s="40" t="s">
        <v>40</v>
      </c>
      <c r="G2044" s="36">
        <v>5</v>
      </c>
      <c r="H2044" s="134" t="str">
        <f>_xlfn.XLOOKUP(C2044&amp;F2044&amp;I2044&amp;J2044,'[1]2025年已发货'!$F:$F&amp;'[1]2025年已发货'!$C:$C&amp;'[1]2025年已发货'!$G:$G&amp;'[1]2025年已发货'!$H:$H,'[1]2025年已发货'!$E:$E,"未发货")</f>
        <v>未发货</v>
      </c>
      <c r="I2044" s="120" t="str">
        <f>VLOOKUP(B2044,辅助信息!E:I,3,FALSE)</f>
        <v>(武汉电气化局成达万高铁强电项目-渠县)四川省达州市渠县渠北镇雷家湾渠县北站旁</v>
      </c>
      <c r="J2044" s="120" t="str">
        <f>VLOOKUP(B2044,辅助信息!E:I,4,FALSE)</f>
        <v>刘频</v>
      </c>
      <c r="K2044" s="120">
        <f>VLOOKUP(J2044,辅助信息!H:I,2,FALSE)</f>
        <v>18779627939</v>
      </c>
      <c r="L2044" s="122" t="str">
        <f>VLOOKUP(B2044,辅助信息!E:J,6,FALSE)</f>
        <v>锈货不收！！下雨天钢筋没盖篷布不收！！，装货前联系收货人核实到场规格,没提前告知进场规格现场不给予接收</v>
      </c>
      <c r="M2044" s="91">
        <v>45838</v>
      </c>
      <c r="O2044" s="62">
        <f ca="1" t="shared" si="137"/>
        <v>0</v>
      </c>
      <c r="P2044" s="62">
        <f ca="1" t="shared" si="138"/>
        <v>122</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0">
        <v>45839</v>
      </c>
      <c r="D2045" s="120" t="str">
        <f>VLOOKUP(B2045,辅助信息!E:K,7,FALSE)</f>
        <v>JWDDCD2025062200016</v>
      </c>
      <c r="E2045" s="120" t="str">
        <f>VLOOKUP(F2045,辅助信息!A:B,2,FALSE)</f>
        <v>螺纹钢</v>
      </c>
      <c r="F2045" s="40" t="s">
        <v>111</v>
      </c>
      <c r="G2045" s="36">
        <v>5</v>
      </c>
      <c r="H2045" s="134" t="str">
        <f>_xlfn.XLOOKUP(C2045&amp;F2045&amp;I2045&amp;J2045,'[1]2025年已发货'!$F:$F&amp;'[1]2025年已发货'!$C:$C&amp;'[1]2025年已发货'!$G:$G&amp;'[1]2025年已发货'!$H:$H,'[1]2025年已发货'!$E:$E,"未发货")</f>
        <v>未发货</v>
      </c>
      <c r="I2045" s="120" t="str">
        <f>VLOOKUP(B2045,辅助信息!E:I,3,FALSE)</f>
        <v>(武汉电气化局成达万高铁强电项目-渠县)四川省达州市渠县渠北镇雷家湾渠县北站旁</v>
      </c>
      <c r="J2045" s="120" t="str">
        <f>VLOOKUP(B2045,辅助信息!E:I,4,FALSE)</f>
        <v>刘频</v>
      </c>
      <c r="K2045" s="120">
        <f>VLOOKUP(J2045,辅助信息!H:I,2,FALSE)</f>
        <v>18779627939</v>
      </c>
      <c r="L2045" s="122" t="str">
        <f>VLOOKUP(B2045,辅助信息!E:J,6,FALSE)</f>
        <v>锈货不收！！下雨天钢筋没盖篷布不收！！，装货前联系收货人核实到场规格,没提前告知进场规格现场不给予接收</v>
      </c>
      <c r="M2045" s="91">
        <v>45838</v>
      </c>
      <c r="O2045" s="62">
        <f ca="1" t="shared" si="137"/>
        <v>0</v>
      </c>
      <c r="P2045" s="62">
        <f ca="1" t="shared" si="138"/>
        <v>122</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0">
        <v>45839</v>
      </c>
      <c r="D2046" s="120" t="str">
        <f>VLOOKUP(B2046,辅助信息!E:K,7,FALSE)</f>
        <v>JWDDCD2025062200016</v>
      </c>
      <c r="E2046" s="120" t="str">
        <f>VLOOKUP(F2046,辅助信息!A:B,2,FALSE)</f>
        <v>螺纹钢</v>
      </c>
      <c r="F2046" s="40" t="s">
        <v>76</v>
      </c>
      <c r="G2046" s="36">
        <v>20</v>
      </c>
      <c r="H2046" s="134" t="str">
        <f>_xlfn.XLOOKUP(C2046&amp;F2046&amp;I2046&amp;J2046,'[1]2025年已发货'!$F:$F&amp;'[1]2025年已发货'!$C:$C&amp;'[1]2025年已发货'!$G:$G&amp;'[1]2025年已发货'!$H:$H,'[1]2025年已发货'!$E:$E,"未发货")</f>
        <v>未发货</v>
      </c>
      <c r="I2046" s="120" t="str">
        <f>VLOOKUP(B2046,辅助信息!E:I,3,FALSE)</f>
        <v>(武汉电气化局成达万高铁强电项目-渠县)四川省达州市渠县渠北镇雷家湾渠县北站旁</v>
      </c>
      <c r="J2046" s="120" t="str">
        <f>VLOOKUP(B2046,辅助信息!E:I,4,FALSE)</f>
        <v>刘频</v>
      </c>
      <c r="K2046" s="120">
        <f>VLOOKUP(J2046,辅助信息!H:I,2,FALSE)</f>
        <v>18779627939</v>
      </c>
      <c r="L2046" s="122" t="str">
        <f>VLOOKUP(B2046,辅助信息!E:J,6,FALSE)</f>
        <v>锈货不收！！下雨天钢筋没盖篷布不收！！，装货前联系收货人核实到场规格,没提前告知进场规格现场不给予接收</v>
      </c>
      <c r="M2046" s="91">
        <v>45838</v>
      </c>
      <c r="O2046" s="62">
        <f ca="1" t="shared" si="137"/>
        <v>0</v>
      </c>
      <c r="P2046" s="62">
        <f ca="1" t="shared" si="138"/>
        <v>122</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0">
        <v>45836</v>
      </c>
      <c r="D2047" s="120" t="str">
        <f>VLOOKUP(B2047,辅助信息!E:K,7,FALSE)</f>
        <v>JWDD2025071500089</v>
      </c>
      <c r="E2047" s="120" t="str">
        <f>VLOOKUP(F2047,辅助信息!A:B,2,FALSE)</f>
        <v>盘螺</v>
      </c>
      <c r="F2047" s="40" t="s">
        <v>41</v>
      </c>
      <c r="G2047" s="36">
        <v>5</v>
      </c>
      <c r="H2047" s="134" t="str">
        <f>_xlfn.XLOOKUP(C2047&amp;F2047&amp;I2047&amp;J2047,'[1]2025年已发货'!$F:$F&amp;'[1]2025年已发货'!$C:$C&amp;'[1]2025年已发货'!$G:$G&amp;'[1]2025年已发货'!$H:$H,'[1]2025年已发货'!$E:$E,"未发货")</f>
        <v>未发货</v>
      </c>
      <c r="I2047" s="120" t="str">
        <f>VLOOKUP(B2047,辅助信息!E:I,3,FALSE)</f>
        <v>(宜宾兴港三江新区长江工业园保障性租赁住房建设项目-2标)四川省宜宾市翠屏区永善路南段宜宾市三江新区长江工业园区</v>
      </c>
      <c r="J2047" s="120" t="str">
        <f>VLOOKUP(B2047,辅助信息!E:I,4,FALSE)</f>
        <v>赵元虎</v>
      </c>
      <c r="K2047" s="120">
        <f>VLOOKUP(J2047,辅助信息!H:I,2,FALSE)</f>
        <v>13684167136</v>
      </c>
      <c r="L2047" s="122" t="str">
        <f>VLOOKUP(B2047,辅助信息!E:J,6,FALSE)</f>
        <v>现场要求调度统一联系指定收货人，不单独发司机位置。锈货不收，装货前联系收货人核实到场规格,没提前告知进场规格现场不给予接收</v>
      </c>
      <c r="M2047" s="91">
        <v>45838</v>
      </c>
      <c r="O2047" s="62">
        <f ca="1" t="shared" si="137"/>
        <v>0</v>
      </c>
      <c r="P2047" s="62">
        <f ca="1" t="shared" si="138"/>
        <v>122</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0">
        <v>45836</v>
      </c>
      <c r="D2048" s="120" t="str">
        <f>VLOOKUP(B2048,辅助信息!E:K,7,FALSE)</f>
        <v>JWDD2025071500089</v>
      </c>
      <c r="E2048" s="120" t="str">
        <f>VLOOKUP(F2048,辅助信息!A:B,2,FALSE)</f>
        <v>盘螺</v>
      </c>
      <c r="F2048" s="40" t="s">
        <v>26</v>
      </c>
      <c r="G2048" s="36">
        <v>35</v>
      </c>
      <c r="H2048" s="134" t="str">
        <f>_xlfn.XLOOKUP(C2048&amp;F2048&amp;I2048&amp;J2048,'[1]2025年已发货'!$F:$F&amp;'[1]2025年已发货'!$C:$C&amp;'[1]2025年已发货'!$G:$G&amp;'[1]2025年已发货'!$H:$H,'[1]2025年已发货'!$E:$E,"未发货")</f>
        <v>未发货</v>
      </c>
      <c r="I2048" s="120" t="str">
        <f>VLOOKUP(B2048,辅助信息!E:I,3,FALSE)</f>
        <v>(宜宾兴港三江新区长江工业园保障性租赁住房建设项目-2标)四川省宜宾市翠屏区永善路南段宜宾市三江新区长江工业园区</v>
      </c>
      <c r="J2048" s="120" t="str">
        <f>VLOOKUP(B2048,辅助信息!E:I,4,FALSE)</f>
        <v>赵元虎</v>
      </c>
      <c r="K2048" s="120">
        <f>VLOOKUP(J2048,辅助信息!H:I,2,FALSE)</f>
        <v>13684167136</v>
      </c>
      <c r="L2048" s="122" t="str">
        <f>VLOOKUP(B2048,辅助信息!E:J,6,FALSE)</f>
        <v>现场要求调度统一联系指定收货人，不单独发司机位置。锈货不收，装货前联系收货人核实到场规格,没提前告知进场规格现场不给予接收</v>
      </c>
      <c r="M2048" s="91">
        <v>45838</v>
      </c>
      <c r="O2048" s="62">
        <f ca="1" t="shared" si="137"/>
        <v>0</v>
      </c>
      <c r="P2048" s="62">
        <f ca="1" t="shared" si="138"/>
        <v>122</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0">
        <v>45836</v>
      </c>
      <c r="D2049" s="120" t="str">
        <f>VLOOKUP(B2049,辅助信息!E:K,7,FALSE)</f>
        <v>JWDD2025071500089</v>
      </c>
      <c r="E2049" s="120" t="str">
        <f>VLOOKUP(F2049,辅助信息!A:B,2,FALSE)</f>
        <v>螺纹钢</v>
      </c>
      <c r="F2049" s="40" t="s">
        <v>19</v>
      </c>
      <c r="G2049" s="36">
        <v>3</v>
      </c>
      <c r="H2049" s="134" t="str">
        <f>_xlfn.XLOOKUP(C2049&amp;F2049&amp;I2049&amp;J2049,'[1]2025年已发货'!$F:$F&amp;'[1]2025年已发货'!$C:$C&amp;'[1]2025年已发货'!$G:$G&amp;'[1]2025年已发货'!$H:$H,'[1]2025年已发货'!$E:$E,"未发货")</f>
        <v>未发货</v>
      </c>
      <c r="I2049" s="120" t="str">
        <f>VLOOKUP(B2049,辅助信息!E:I,3,FALSE)</f>
        <v>(宜宾兴港三江新区长江工业园保障性租赁住房建设项目-2标)四川省宜宾市翠屏区永善路南段宜宾市三江新区长江工业园区</v>
      </c>
      <c r="J2049" s="120" t="str">
        <f>VLOOKUP(B2049,辅助信息!E:I,4,FALSE)</f>
        <v>赵元虎</v>
      </c>
      <c r="K2049" s="120">
        <f>VLOOKUP(J2049,辅助信息!H:I,2,FALSE)</f>
        <v>13684167136</v>
      </c>
      <c r="L2049" s="122" t="str">
        <f>VLOOKUP(B2049,辅助信息!E:J,6,FALSE)</f>
        <v>现场要求调度统一联系指定收货人，不单独发司机位置。锈货不收，装货前联系收货人核实到场规格,没提前告知进场规格现场不给予接收</v>
      </c>
      <c r="M2049" s="91">
        <v>45838</v>
      </c>
      <c r="O2049" s="62">
        <f ca="1" t="shared" si="137"/>
        <v>0</v>
      </c>
      <c r="P2049" s="62">
        <f ca="1" t="shared" si="138"/>
        <v>122</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0">
        <v>45836</v>
      </c>
      <c r="D2050" s="120" t="str">
        <f>VLOOKUP(B2050,辅助信息!E:K,7,FALSE)</f>
        <v>JWDD2025071500089</v>
      </c>
      <c r="E2050" s="120" t="str">
        <f>VLOOKUP(F2050,辅助信息!A:B,2,FALSE)</f>
        <v>螺纹钢</v>
      </c>
      <c r="F2050" s="40" t="s">
        <v>32</v>
      </c>
      <c r="G2050" s="36">
        <v>3</v>
      </c>
      <c r="H2050" s="134" t="str">
        <f>_xlfn.XLOOKUP(C2050&amp;F2050&amp;I2050&amp;J2050,'[1]2025年已发货'!$F:$F&amp;'[1]2025年已发货'!$C:$C&amp;'[1]2025年已发货'!$G:$G&amp;'[1]2025年已发货'!$H:$H,'[1]2025年已发货'!$E:$E,"未发货")</f>
        <v>未发货</v>
      </c>
      <c r="I2050" s="120" t="str">
        <f>VLOOKUP(B2050,辅助信息!E:I,3,FALSE)</f>
        <v>(宜宾兴港三江新区长江工业园保障性租赁住房建设项目-2标)四川省宜宾市翠屏区永善路南段宜宾市三江新区长江工业园区</v>
      </c>
      <c r="J2050" s="120" t="str">
        <f>VLOOKUP(B2050,辅助信息!E:I,4,FALSE)</f>
        <v>赵元虎</v>
      </c>
      <c r="K2050" s="120">
        <f>VLOOKUP(J2050,辅助信息!H:I,2,FALSE)</f>
        <v>13684167136</v>
      </c>
      <c r="L2050" s="122" t="str">
        <f>VLOOKUP(B2050,辅助信息!E:J,6,FALSE)</f>
        <v>现场要求调度统一联系指定收货人，不单独发司机位置。锈货不收，装货前联系收货人核实到场规格,没提前告知进场规格现场不给予接收</v>
      </c>
      <c r="M2050" s="91">
        <v>45838</v>
      </c>
      <c r="O2050" s="62">
        <f ca="1" t="shared" si="137"/>
        <v>0</v>
      </c>
      <c r="P2050" s="62">
        <f ca="1" t="shared" si="138"/>
        <v>122</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0">
        <v>45836</v>
      </c>
      <c r="D2051" s="120" t="str">
        <f>VLOOKUP(B2051,辅助信息!E:K,7,FALSE)</f>
        <v>JWDD2025071500089</v>
      </c>
      <c r="E2051" s="120" t="str">
        <f>VLOOKUP(F2051,辅助信息!A:B,2,FALSE)</f>
        <v>螺纹钢</v>
      </c>
      <c r="F2051" s="40" t="s">
        <v>30</v>
      </c>
      <c r="G2051" s="36">
        <v>60</v>
      </c>
      <c r="H2051" s="134" t="str">
        <f>_xlfn.XLOOKUP(C2051&amp;F2051&amp;I2051&amp;J2051,'[1]2025年已发货'!$F:$F&amp;'[1]2025年已发货'!$C:$C&amp;'[1]2025年已发货'!$G:$G&amp;'[1]2025年已发货'!$H:$H,'[1]2025年已发货'!$E:$E,"未发货")</f>
        <v>未发货</v>
      </c>
      <c r="I2051" s="120" t="str">
        <f>VLOOKUP(B2051,辅助信息!E:I,3,FALSE)</f>
        <v>(宜宾兴港三江新区长江工业园保障性租赁住房建设项目-2标)四川省宜宾市翠屏区永善路南段宜宾市三江新区长江工业园区</v>
      </c>
      <c r="J2051" s="120" t="str">
        <f>VLOOKUP(B2051,辅助信息!E:I,4,FALSE)</f>
        <v>赵元虎</v>
      </c>
      <c r="K2051" s="120">
        <f>VLOOKUP(J2051,辅助信息!H:I,2,FALSE)</f>
        <v>13684167136</v>
      </c>
      <c r="L2051" s="122" t="str">
        <f>VLOOKUP(B2051,辅助信息!E:J,6,FALSE)</f>
        <v>现场要求调度统一联系指定收货人，不单独发司机位置。锈货不收，装货前联系收货人核实到场规格,没提前告知进场规格现场不给予接收</v>
      </c>
      <c r="M2051" s="91">
        <v>45838</v>
      </c>
      <c r="O2051" s="62">
        <f ca="1" t="shared" si="137"/>
        <v>0</v>
      </c>
      <c r="P2051" s="62">
        <f ca="1" t="shared" si="138"/>
        <v>122</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0">
        <v>45836</v>
      </c>
      <c r="D2052" s="120" t="str">
        <f>VLOOKUP(B2052,辅助信息!E:K,7,FALSE)</f>
        <v>JWDD2025071500089</v>
      </c>
      <c r="E2052" s="120" t="str">
        <f>VLOOKUP(F2052,辅助信息!A:B,2,FALSE)</f>
        <v>高线</v>
      </c>
      <c r="F2052" s="40" t="s">
        <v>53</v>
      </c>
      <c r="G2052" s="36">
        <v>32</v>
      </c>
      <c r="H2052" s="134" t="str">
        <f>_xlfn.XLOOKUP(C2052&amp;F2052&amp;I2052&amp;J2052,'[1]2025年已发货'!$F:$F&amp;'[1]2025年已发货'!$C:$C&amp;'[1]2025年已发货'!$G:$G&amp;'[1]2025年已发货'!$H:$H,'[1]2025年已发货'!$E:$E,"未发货")</f>
        <v>未发货</v>
      </c>
      <c r="I2052" s="120" t="str">
        <f>VLOOKUP(B2052,辅助信息!E:I,3,FALSE)</f>
        <v>(宜宾兴港三江新区长江工业园保障性租赁住房建设项目-边坡支护)四川省宜宾市翠屏区永善路南段宜宾市三江新区长江工业园区</v>
      </c>
      <c r="J2052" s="120" t="str">
        <f>VLOOKUP(B2052,辅助信息!E:I,4,FALSE)</f>
        <v>赵元虎</v>
      </c>
      <c r="K2052" s="120">
        <f>VLOOKUP(J2052,辅助信息!H:I,2,FALSE)</f>
        <v>13684167136</v>
      </c>
      <c r="L2052" s="122" t="str">
        <f>VLOOKUP(B2052,辅助信息!E:J,6,FALSE)</f>
        <v>现场要求调度统一联系指定收货人，不单独发司机位置。锈货不收，装货前联系收货人核实到场规格,没提前告知进场规格现场不给予接收</v>
      </c>
      <c r="M2052" s="91" t="s">
        <v>185</v>
      </c>
      <c r="O2052" s="62" t="e">
        <f ca="1" t="shared" si="137"/>
        <v>#VALUE!</v>
      </c>
      <c r="P2052" s="62">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19"/>
      <c r="B2053" s="40" t="s">
        <v>147</v>
      </c>
      <c r="C2053" s="70">
        <v>45839</v>
      </c>
      <c r="D2053" s="120" t="str">
        <f>VLOOKUP(B2053,辅助信息!E:K,7,FALSE)</f>
        <v>JWDDCD2025052800131</v>
      </c>
      <c r="E2053" s="120" t="str">
        <f>VLOOKUP(F2053,辅助信息!A:B,2,FALSE)</f>
        <v>高线</v>
      </c>
      <c r="F2053" s="40" t="s">
        <v>57</v>
      </c>
      <c r="G2053" s="36">
        <v>9</v>
      </c>
      <c r="H2053" s="134" t="str">
        <f>_xlfn.XLOOKUP(C2053&amp;F2053&amp;I2053&amp;J2053,'[1]2025年已发货'!$F:$F&amp;'[1]2025年已发货'!$C:$C&amp;'[1]2025年已发货'!$G:$G&amp;'[1]2025年已发货'!$H:$H,'[1]2025年已发货'!$E:$E,"未发货")</f>
        <v>未发货</v>
      </c>
      <c r="I2053" s="120" t="str">
        <f>VLOOKUP(B2053,辅助信息!E:I,3,FALSE)</f>
        <v>（商投建工达州中医药科技园-4工区-11号楼）达州市通川区达州中医药职业学院犀牛大道北段</v>
      </c>
      <c r="J2053" s="120" t="str">
        <f>VLOOKUP(B2053,辅助信息!E:I,4,FALSE)</f>
        <v>张扬</v>
      </c>
      <c r="K2053" s="120">
        <f>VLOOKUP(J2053,辅助信息!H:I,2,FALSE)</f>
        <v>18381904567</v>
      </c>
      <c r="L2053" s="122" t="str">
        <f>VLOOKUP(B2053,辅助信息!E:J,6,FALSE)</f>
        <v>控制炉批号！多了现场不收！,优先安排达钢,提前联系到场规格及数量</v>
      </c>
      <c r="M2053" s="91">
        <v>45838</v>
      </c>
      <c r="O2053" s="62">
        <f ca="1" t="shared" si="137"/>
        <v>0</v>
      </c>
      <c r="P2053" s="62">
        <f ca="1" t="shared" si="138"/>
        <v>122</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19"/>
      <c r="B2054" s="40" t="s">
        <v>147</v>
      </c>
      <c r="C2054" s="70">
        <v>45839</v>
      </c>
      <c r="D2054" s="120" t="str">
        <f>VLOOKUP(B2054,辅助信息!E:K,7,FALSE)</f>
        <v>JWDDCD2025052800131</v>
      </c>
      <c r="E2054" s="120" t="str">
        <f>VLOOKUP(F2054,辅助信息!A:B,2,FALSE)</f>
        <v>螺纹钢</v>
      </c>
      <c r="F2054" s="40" t="s">
        <v>21</v>
      </c>
      <c r="G2054" s="36">
        <v>7</v>
      </c>
      <c r="H2054" s="134" t="str">
        <f>_xlfn.XLOOKUP(C2054&amp;F2054&amp;I2054&amp;J2054,'[1]2025年已发货'!$F:$F&amp;'[1]2025年已发货'!$C:$C&amp;'[1]2025年已发货'!$G:$G&amp;'[1]2025年已发货'!$H:$H,'[1]2025年已发货'!$E:$E,"未发货")</f>
        <v>未发货</v>
      </c>
      <c r="I2054" s="120" t="str">
        <f>VLOOKUP(B2054,辅助信息!E:I,3,FALSE)</f>
        <v>（商投建工达州中医药科技园-4工区-11号楼）达州市通川区达州中医药职业学院犀牛大道北段</v>
      </c>
      <c r="J2054" s="120" t="str">
        <f>VLOOKUP(B2054,辅助信息!E:I,4,FALSE)</f>
        <v>张扬</v>
      </c>
      <c r="K2054" s="120">
        <f>VLOOKUP(J2054,辅助信息!H:I,2,FALSE)</f>
        <v>18381904567</v>
      </c>
      <c r="L2054" s="122" t="str">
        <f>VLOOKUP(B2054,辅助信息!E:J,6,FALSE)</f>
        <v>控制炉批号！多了现场不收！,优先安排达钢,提前联系到场规格及数量</v>
      </c>
      <c r="M2054" s="91">
        <v>45838</v>
      </c>
      <c r="O2054" s="62">
        <f ca="1" t="shared" si="137"/>
        <v>0</v>
      </c>
      <c r="P2054" s="62">
        <f ca="1" t="shared" si="138"/>
        <v>122</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19"/>
      <c r="B2055" s="40" t="s">
        <v>147</v>
      </c>
      <c r="C2055" s="70">
        <v>45839</v>
      </c>
      <c r="D2055" s="120" t="str">
        <f>VLOOKUP(B2055,辅助信息!E:K,7,FALSE)</f>
        <v>JWDDCD2025052800131</v>
      </c>
      <c r="E2055" s="120" t="str">
        <f>VLOOKUP(F2055,辅助信息!A:B,2,FALSE)</f>
        <v>螺纹钢</v>
      </c>
      <c r="F2055" s="40" t="s">
        <v>46</v>
      </c>
      <c r="G2055" s="36">
        <v>3</v>
      </c>
      <c r="H2055" s="134" t="str">
        <f>_xlfn.XLOOKUP(C2055&amp;F2055&amp;I2055&amp;J2055,'[1]2025年已发货'!$F:$F&amp;'[1]2025年已发货'!$C:$C&amp;'[1]2025年已发货'!$G:$G&amp;'[1]2025年已发货'!$H:$H,'[1]2025年已发货'!$E:$E,"未发货")</f>
        <v>未发货</v>
      </c>
      <c r="I2055" s="120" t="str">
        <f>VLOOKUP(B2055,辅助信息!E:I,3,FALSE)</f>
        <v>（商投建工达州中医药科技园-4工区-11号楼）达州市通川区达州中医药职业学院犀牛大道北段</v>
      </c>
      <c r="J2055" s="120" t="str">
        <f>VLOOKUP(B2055,辅助信息!E:I,4,FALSE)</f>
        <v>张扬</v>
      </c>
      <c r="K2055" s="120">
        <f>VLOOKUP(J2055,辅助信息!H:I,2,FALSE)</f>
        <v>18381904567</v>
      </c>
      <c r="L2055" s="122" t="str">
        <f>VLOOKUP(B2055,辅助信息!E:J,6,FALSE)</f>
        <v>控制炉批号！多了现场不收！,优先安排达钢,提前联系到场规格及数量</v>
      </c>
      <c r="M2055" s="91">
        <v>45838</v>
      </c>
      <c r="O2055" s="62">
        <f ca="1" t="shared" si="137"/>
        <v>0</v>
      </c>
      <c r="P2055" s="62">
        <f ca="1" t="shared" si="138"/>
        <v>122</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19"/>
      <c r="B2056" s="40" t="s">
        <v>147</v>
      </c>
      <c r="C2056" s="70">
        <v>45839</v>
      </c>
      <c r="D2056" s="120" t="str">
        <f>VLOOKUP(B2056,辅助信息!E:K,7,FALSE)</f>
        <v>JWDDCD2025052800131</v>
      </c>
      <c r="E2056" s="120" t="str">
        <f>VLOOKUP(F2056,辅助信息!A:B,2,FALSE)</f>
        <v>螺纹钢</v>
      </c>
      <c r="F2056" s="40" t="s">
        <v>22</v>
      </c>
      <c r="G2056" s="36">
        <v>9</v>
      </c>
      <c r="H2056" s="134" t="str">
        <f>_xlfn.XLOOKUP(C2056&amp;F2056&amp;I2056&amp;J2056,'[1]2025年已发货'!$F:$F&amp;'[1]2025年已发货'!$C:$C&amp;'[1]2025年已发货'!$G:$G&amp;'[1]2025年已发货'!$H:$H,'[1]2025年已发货'!$E:$E,"未发货")</f>
        <v>未发货</v>
      </c>
      <c r="I2056" s="120" t="str">
        <f>VLOOKUP(B2056,辅助信息!E:I,3,FALSE)</f>
        <v>（商投建工达州中医药科技园-4工区-11号楼）达州市通川区达州中医药职业学院犀牛大道北段</v>
      </c>
      <c r="J2056" s="120" t="str">
        <f>VLOOKUP(B2056,辅助信息!E:I,4,FALSE)</f>
        <v>张扬</v>
      </c>
      <c r="K2056" s="120">
        <f>VLOOKUP(J2056,辅助信息!H:I,2,FALSE)</f>
        <v>18381904567</v>
      </c>
      <c r="L2056" s="122" t="str">
        <f>VLOOKUP(B2056,辅助信息!E:J,6,FALSE)</f>
        <v>控制炉批号！多了现场不收！,优先安排达钢,提前联系到场规格及数量</v>
      </c>
      <c r="M2056" s="91">
        <v>45838</v>
      </c>
      <c r="O2056" s="62">
        <f ca="1" t="shared" si="137"/>
        <v>0</v>
      </c>
      <c r="P2056" s="62">
        <f ca="1" t="shared" si="138"/>
        <v>122</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19"/>
      <c r="B2057" s="40" t="s">
        <v>147</v>
      </c>
      <c r="C2057" s="70">
        <v>45839</v>
      </c>
      <c r="D2057" s="120" t="str">
        <f>VLOOKUP(B2057,辅助信息!E:K,7,FALSE)</f>
        <v>JWDDCD2025052800131</v>
      </c>
      <c r="E2057" s="120" t="str">
        <f>VLOOKUP(F2057,辅助信息!A:B,2,FALSE)</f>
        <v>螺纹钢</v>
      </c>
      <c r="F2057" s="40" t="s">
        <v>45</v>
      </c>
      <c r="G2057" s="36">
        <v>6</v>
      </c>
      <c r="H2057" s="134" t="str">
        <f>_xlfn.XLOOKUP(C2057&amp;F2057&amp;I2057&amp;J2057,'[1]2025年已发货'!$F:$F&amp;'[1]2025年已发货'!$C:$C&amp;'[1]2025年已发货'!$G:$G&amp;'[1]2025年已发货'!$H:$H,'[1]2025年已发货'!$E:$E,"未发货")</f>
        <v>未发货</v>
      </c>
      <c r="I2057" s="120" t="str">
        <f>VLOOKUP(B2057,辅助信息!E:I,3,FALSE)</f>
        <v>（商投建工达州中医药科技园-4工区-11号楼）达州市通川区达州中医药职业学院犀牛大道北段</v>
      </c>
      <c r="J2057" s="120" t="str">
        <f>VLOOKUP(B2057,辅助信息!E:I,4,FALSE)</f>
        <v>张扬</v>
      </c>
      <c r="K2057" s="120">
        <f>VLOOKUP(J2057,辅助信息!H:I,2,FALSE)</f>
        <v>18381904567</v>
      </c>
      <c r="L2057" s="122" t="str">
        <f>VLOOKUP(B2057,辅助信息!E:J,6,FALSE)</f>
        <v>控制炉批号！多了现场不收！,优先安排达钢,提前联系到场规格及数量</v>
      </c>
      <c r="M2057" s="91">
        <v>45838</v>
      </c>
      <c r="O2057" s="62">
        <f ca="1" t="shared" si="137"/>
        <v>0</v>
      </c>
      <c r="P2057" s="62">
        <f ca="1" t="shared" si="138"/>
        <v>122</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0">
        <v>45839</v>
      </c>
      <c r="D2058" s="120" t="str">
        <f>VLOOKUP(B2058,辅助信息!E:K,7,FALSE)</f>
        <v>JWDDCD2024101600133</v>
      </c>
      <c r="E2058" s="120" t="str">
        <f>VLOOKUP(F2058,辅助信息!A:B,2,FALSE)</f>
        <v>盘螺</v>
      </c>
      <c r="F2058" s="40" t="s">
        <v>49</v>
      </c>
      <c r="G2058" s="36">
        <v>5</v>
      </c>
      <c r="H2058" s="134">
        <f>_xlfn.XLOOKUP(C2058&amp;F2058&amp;I2058&amp;J2058,'[1]2025年已发货'!$F:$F&amp;'[1]2025年已发货'!$C:$C&amp;'[1]2025年已发货'!$G:$G&amp;'[1]2025年已发货'!$H:$H,'[1]2025年已发货'!$E:$E,"未发货")</f>
        <v>5</v>
      </c>
      <c r="I2058" s="120" t="str">
        <f>VLOOKUP(B2058,辅助信息!E:I,3,FALSE)</f>
        <v>（五冶钢构宜宾高县月江镇建设项目）  四川省宜宾市高县月江镇刚记超市斜对面(还阳组团沪碳二期项目)</v>
      </c>
      <c r="J2058" s="120" t="str">
        <f>VLOOKUP(B2058,辅助信息!E:I,4,FALSE)</f>
        <v>张朝亮</v>
      </c>
      <c r="K2058" s="120">
        <f>VLOOKUP(J2058,辅助信息!H:I,2,FALSE)</f>
        <v>15228205853</v>
      </c>
      <c r="L2058" s="122" t="str">
        <f>VLOOKUP(B2058,辅助信息!E:J,6,FALSE)</f>
        <v>提前联系到场规格</v>
      </c>
      <c r="M2058" s="91">
        <v>45838</v>
      </c>
      <c r="O2058" s="62">
        <f ca="1" t="shared" ref="O2058:O2067" si="139">IF(OR(M2058="",N2058&lt;&gt;""),"",MAX(M2058-TODAY(),0))</f>
        <v>0</v>
      </c>
      <c r="P2058" s="62">
        <f ca="1" t="shared" ref="P2058:P2067" si="140">IF(M2058="","",IF(N2058&lt;&gt;"",MAX(N2058-M2058,0),IF(TODAY()&gt;M2058,TODAY()-M2058,0)))</f>
        <v>122</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0">
        <v>45839</v>
      </c>
      <c r="D2059" s="120" t="str">
        <f>VLOOKUP(B2059,辅助信息!E:K,7,FALSE)</f>
        <v>JWDDCD2024101600133</v>
      </c>
      <c r="E2059" s="120" t="str">
        <f>VLOOKUP(F2059,辅助信息!A:B,2,FALSE)</f>
        <v>盘螺</v>
      </c>
      <c r="F2059" s="40" t="s">
        <v>40</v>
      </c>
      <c r="G2059" s="36">
        <v>20</v>
      </c>
      <c r="H2059" s="134">
        <f>_xlfn.XLOOKUP(C2059&amp;F2059&amp;I2059&amp;J2059,'[1]2025年已发货'!$F:$F&amp;'[1]2025年已发货'!$C:$C&amp;'[1]2025年已发货'!$G:$G&amp;'[1]2025年已发货'!$H:$H,'[1]2025年已发货'!$E:$E,"未发货")</f>
        <v>20</v>
      </c>
      <c r="I2059" s="120" t="str">
        <f>VLOOKUP(B2059,辅助信息!E:I,3,FALSE)</f>
        <v>（五冶钢构宜宾高县月江镇建设项目）  四川省宜宾市高县月江镇刚记超市斜对面(还阳组团沪碳二期项目)</v>
      </c>
      <c r="J2059" s="120" t="str">
        <f>VLOOKUP(B2059,辅助信息!E:I,4,FALSE)</f>
        <v>张朝亮</v>
      </c>
      <c r="K2059" s="120">
        <f>VLOOKUP(J2059,辅助信息!H:I,2,FALSE)</f>
        <v>15228205853</v>
      </c>
      <c r="L2059" s="122" t="str">
        <f>VLOOKUP(B2059,辅助信息!E:J,6,FALSE)</f>
        <v>提前联系到场规格</v>
      </c>
      <c r="M2059" s="91">
        <v>45838</v>
      </c>
      <c r="O2059" s="62">
        <f ca="1" t="shared" si="139"/>
        <v>0</v>
      </c>
      <c r="P2059" s="62">
        <f ca="1" t="shared" si="140"/>
        <v>122</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0">
        <v>45839</v>
      </c>
      <c r="D2060" s="120" t="str">
        <f>VLOOKUP(B2060,辅助信息!E:K,7,FALSE)</f>
        <v>JWDDCD2024101600133</v>
      </c>
      <c r="E2060" s="120" t="str">
        <f>VLOOKUP(F2060,辅助信息!A:B,2,FALSE)</f>
        <v>盘螺</v>
      </c>
      <c r="F2060" s="40" t="s">
        <v>41</v>
      </c>
      <c r="G2060" s="36">
        <v>10</v>
      </c>
      <c r="H2060" s="134">
        <f>_xlfn.XLOOKUP(C2060&amp;F2060&amp;I2060&amp;J2060,'[1]2025年已发货'!$F:$F&amp;'[1]2025年已发货'!$C:$C&amp;'[1]2025年已发货'!$G:$G&amp;'[1]2025年已发货'!$H:$H,'[1]2025年已发货'!$E:$E,"未发货")</f>
        <v>10</v>
      </c>
      <c r="I2060" s="120" t="str">
        <f>VLOOKUP(B2060,辅助信息!E:I,3,FALSE)</f>
        <v>（五冶钢构宜宾高县月江镇建设项目）  四川省宜宾市高县月江镇刚记超市斜对面(还阳组团沪碳二期项目)</v>
      </c>
      <c r="J2060" s="120" t="str">
        <f>VLOOKUP(B2060,辅助信息!E:I,4,FALSE)</f>
        <v>张朝亮</v>
      </c>
      <c r="K2060" s="120">
        <f>VLOOKUP(J2060,辅助信息!H:I,2,FALSE)</f>
        <v>15228205853</v>
      </c>
      <c r="L2060" s="122" t="str">
        <f>VLOOKUP(B2060,辅助信息!E:J,6,FALSE)</f>
        <v>提前联系到场规格</v>
      </c>
      <c r="M2060" s="91">
        <v>45838</v>
      </c>
      <c r="O2060" s="62">
        <f ca="1" t="shared" si="139"/>
        <v>0</v>
      </c>
      <c r="P2060" s="62">
        <f ca="1" t="shared" si="140"/>
        <v>122</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0">
        <v>45839</v>
      </c>
      <c r="D2061" s="120" t="str">
        <f>VLOOKUP(B2061,辅助信息!E:K,7,FALSE)</f>
        <v>JWDDCD2024101600133</v>
      </c>
      <c r="E2061" s="120" t="str">
        <f>VLOOKUP(F2061,辅助信息!A:B,2,FALSE)</f>
        <v>螺纹钢</v>
      </c>
      <c r="F2061" s="40" t="s">
        <v>27</v>
      </c>
      <c r="G2061" s="36">
        <v>27</v>
      </c>
      <c r="H2061" s="134">
        <f>_xlfn.XLOOKUP(C2061&amp;F2061&amp;I2061&amp;J2061,'[1]2025年已发货'!$F:$F&amp;'[1]2025年已发货'!$C:$C&amp;'[1]2025年已发货'!$G:$G&amp;'[1]2025年已发货'!$H:$H,'[1]2025年已发货'!$E:$E,"未发货")</f>
        <v>27</v>
      </c>
      <c r="I2061" s="120" t="str">
        <f>VLOOKUP(B2061,辅助信息!E:I,3,FALSE)</f>
        <v>（五冶钢构宜宾高县月江镇建设项目）  四川省宜宾市高县月江镇刚记超市斜对面(还阳组团沪碳二期项目)</v>
      </c>
      <c r="J2061" s="120" t="str">
        <f>VLOOKUP(B2061,辅助信息!E:I,4,FALSE)</f>
        <v>张朝亮</v>
      </c>
      <c r="K2061" s="120">
        <f>VLOOKUP(J2061,辅助信息!H:I,2,FALSE)</f>
        <v>15228205853</v>
      </c>
      <c r="L2061" s="122" t="str">
        <f>VLOOKUP(B2061,辅助信息!E:J,6,FALSE)</f>
        <v>提前联系到场规格</v>
      </c>
      <c r="M2061" s="91">
        <v>45838</v>
      </c>
      <c r="O2061" s="62">
        <f ca="1" t="shared" si="139"/>
        <v>0</v>
      </c>
      <c r="P2061" s="62">
        <f ca="1" t="shared" si="140"/>
        <v>122</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0">
        <v>45839</v>
      </c>
      <c r="D2062" s="120" t="str">
        <f>VLOOKUP(B2062,辅助信息!E:K,7,FALSE)</f>
        <v>JWDDCD2024101600133</v>
      </c>
      <c r="E2062" s="120" t="str">
        <f>VLOOKUP(F2062,辅助信息!A:B,2,FALSE)</f>
        <v>螺纹钢</v>
      </c>
      <c r="F2062" s="40" t="s">
        <v>19</v>
      </c>
      <c r="G2062" s="36">
        <v>33</v>
      </c>
      <c r="H2062" s="134">
        <f>_xlfn.XLOOKUP(C2062&amp;F2062&amp;I2062&amp;J2062,'[1]2025年已发货'!$F:$F&amp;'[1]2025年已发货'!$C:$C&amp;'[1]2025年已发货'!$G:$G&amp;'[1]2025年已发货'!$H:$H,'[1]2025年已发货'!$E:$E,"未发货")</f>
        <v>33</v>
      </c>
      <c r="I2062" s="120" t="str">
        <f>VLOOKUP(B2062,辅助信息!E:I,3,FALSE)</f>
        <v>（五冶钢构宜宾高县月江镇建设项目）  四川省宜宾市高县月江镇刚记超市斜对面(还阳组团沪碳二期项目)</v>
      </c>
      <c r="J2062" s="120" t="str">
        <f>VLOOKUP(B2062,辅助信息!E:I,4,FALSE)</f>
        <v>张朝亮</v>
      </c>
      <c r="K2062" s="120">
        <f>VLOOKUP(J2062,辅助信息!H:I,2,FALSE)</f>
        <v>15228205853</v>
      </c>
      <c r="L2062" s="122" t="str">
        <f>VLOOKUP(B2062,辅助信息!E:J,6,FALSE)</f>
        <v>提前联系到场规格</v>
      </c>
      <c r="M2062" s="91">
        <v>45838</v>
      </c>
      <c r="O2062" s="62">
        <f ca="1" t="shared" si="139"/>
        <v>0</v>
      </c>
      <c r="P2062" s="62">
        <f ca="1" t="shared" si="140"/>
        <v>122</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0">
        <v>45839</v>
      </c>
      <c r="D2063" s="120" t="str">
        <f>VLOOKUP(B2063,辅助信息!E:K,7,FALSE)</f>
        <v>JWDDCD2024101600133</v>
      </c>
      <c r="E2063" s="120" t="str">
        <f>VLOOKUP(F2063,辅助信息!A:B,2,FALSE)</f>
        <v>螺纹钢</v>
      </c>
      <c r="F2063" s="40" t="s">
        <v>32</v>
      </c>
      <c r="G2063" s="36">
        <v>6</v>
      </c>
      <c r="H2063" s="134">
        <f>_xlfn.XLOOKUP(C2063&amp;F2063&amp;I2063&amp;J2063,'[1]2025年已发货'!$F:$F&amp;'[1]2025年已发货'!$C:$C&amp;'[1]2025年已发货'!$G:$G&amp;'[1]2025年已发货'!$H:$H,'[1]2025年已发货'!$E:$E,"未发货")</f>
        <v>6</v>
      </c>
      <c r="I2063" s="120" t="str">
        <f>VLOOKUP(B2063,辅助信息!E:I,3,FALSE)</f>
        <v>（五冶钢构宜宾高县月江镇建设项目）  四川省宜宾市高县月江镇刚记超市斜对面(还阳组团沪碳二期项目)</v>
      </c>
      <c r="J2063" s="120" t="str">
        <f>VLOOKUP(B2063,辅助信息!E:I,4,FALSE)</f>
        <v>张朝亮</v>
      </c>
      <c r="K2063" s="120">
        <f>VLOOKUP(J2063,辅助信息!H:I,2,FALSE)</f>
        <v>15228205853</v>
      </c>
      <c r="L2063" s="122" t="str">
        <f>VLOOKUP(B2063,辅助信息!E:J,6,FALSE)</f>
        <v>提前联系到场规格</v>
      </c>
      <c r="M2063" s="91">
        <v>45838</v>
      </c>
      <c r="O2063" s="62">
        <f ca="1" t="shared" si="139"/>
        <v>0</v>
      </c>
      <c r="P2063" s="62">
        <f ca="1" t="shared" si="140"/>
        <v>122</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0">
        <v>45839</v>
      </c>
      <c r="D2064" s="120" t="str">
        <f>VLOOKUP(B2064,辅助信息!E:K,7,FALSE)</f>
        <v>JWDDCD2024101600133</v>
      </c>
      <c r="E2064" s="120" t="str">
        <f>VLOOKUP(F2064,辅助信息!A:B,2,FALSE)</f>
        <v>螺纹钢</v>
      </c>
      <c r="F2064" s="40" t="s">
        <v>30</v>
      </c>
      <c r="G2064" s="36">
        <v>3</v>
      </c>
      <c r="H2064" s="134">
        <f>_xlfn.XLOOKUP(C2064&amp;F2064&amp;I2064&amp;J2064,'[1]2025年已发货'!$F:$F&amp;'[1]2025年已发货'!$C:$C&amp;'[1]2025年已发货'!$G:$G&amp;'[1]2025年已发货'!$H:$H,'[1]2025年已发货'!$E:$E,"未发货")</f>
        <v>3</v>
      </c>
      <c r="I2064" s="120" t="str">
        <f>VLOOKUP(B2064,辅助信息!E:I,3,FALSE)</f>
        <v>（五冶钢构宜宾高县月江镇建设项目）  四川省宜宾市高县月江镇刚记超市斜对面(还阳组团沪碳二期项目)</v>
      </c>
      <c r="J2064" s="120" t="str">
        <f>VLOOKUP(B2064,辅助信息!E:I,4,FALSE)</f>
        <v>张朝亮</v>
      </c>
      <c r="K2064" s="120">
        <f>VLOOKUP(J2064,辅助信息!H:I,2,FALSE)</f>
        <v>15228205853</v>
      </c>
      <c r="L2064" s="122" t="str">
        <f>VLOOKUP(B2064,辅助信息!E:J,6,FALSE)</f>
        <v>提前联系到场规格</v>
      </c>
      <c r="M2064" s="91">
        <v>45838</v>
      </c>
      <c r="O2064" s="62">
        <f ca="1" t="shared" si="139"/>
        <v>0</v>
      </c>
      <c r="P2064" s="62">
        <f ca="1" t="shared" si="140"/>
        <v>122</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0">
        <v>45839</v>
      </c>
      <c r="D2065" s="120" t="str">
        <f>VLOOKUP(B2065,辅助信息!E:K,7,FALSE)</f>
        <v>JWDDCD2024101600133</v>
      </c>
      <c r="E2065" s="120" t="str">
        <f>VLOOKUP(F2065,辅助信息!A:B,2,FALSE)</f>
        <v>螺纹钢</v>
      </c>
      <c r="F2065" s="40" t="s">
        <v>33</v>
      </c>
      <c r="G2065" s="36">
        <v>9</v>
      </c>
      <c r="H2065" s="134">
        <f>_xlfn.XLOOKUP(C2065&amp;F2065&amp;I2065&amp;J2065,'[1]2025年已发货'!$F:$F&amp;'[1]2025年已发货'!$C:$C&amp;'[1]2025年已发货'!$G:$G&amp;'[1]2025年已发货'!$H:$H,'[1]2025年已发货'!$E:$E,"未发货")</f>
        <v>9</v>
      </c>
      <c r="I2065" s="120" t="str">
        <f>VLOOKUP(B2065,辅助信息!E:I,3,FALSE)</f>
        <v>（五冶钢构宜宾高县月江镇建设项目）  四川省宜宾市高县月江镇刚记超市斜对面(还阳组团沪碳二期项目)</v>
      </c>
      <c r="J2065" s="120" t="str">
        <f>VLOOKUP(B2065,辅助信息!E:I,4,FALSE)</f>
        <v>张朝亮</v>
      </c>
      <c r="K2065" s="120">
        <f>VLOOKUP(J2065,辅助信息!H:I,2,FALSE)</f>
        <v>15228205853</v>
      </c>
      <c r="L2065" s="122" t="str">
        <f>VLOOKUP(B2065,辅助信息!E:J,6,FALSE)</f>
        <v>提前联系到场规格</v>
      </c>
      <c r="M2065" s="91">
        <v>45838</v>
      </c>
      <c r="O2065" s="62">
        <f ca="1" t="shared" si="139"/>
        <v>0</v>
      </c>
      <c r="P2065" s="62">
        <f ca="1" t="shared" si="140"/>
        <v>122</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0">
        <v>45839</v>
      </c>
      <c r="D2066" s="120" t="str">
        <f>VLOOKUP(B2066,辅助信息!E:K,7,FALSE)</f>
        <v>JWDDCD2024101600133</v>
      </c>
      <c r="E2066" s="120" t="str">
        <f>VLOOKUP(F2066,辅助信息!A:B,2,FALSE)</f>
        <v>螺纹钢</v>
      </c>
      <c r="F2066" s="40" t="s">
        <v>28</v>
      </c>
      <c r="G2066" s="36">
        <v>27</v>
      </c>
      <c r="H2066" s="134">
        <f>_xlfn.XLOOKUP(C2066&amp;F2066&amp;I2066&amp;J2066,'[1]2025年已发货'!$F:$F&amp;'[1]2025年已发货'!$C:$C&amp;'[1]2025年已发货'!$G:$G&amp;'[1]2025年已发货'!$H:$H,'[1]2025年已发货'!$E:$E,"未发货")</f>
        <v>27</v>
      </c>
      <c r="I2066" s="120" t="str">
        <f>VLOOKUP(B2066,辅助信息!E:I,3,FALSE)</f>
        <v>（五冶钢构宜宾高县月江镇建设项目）  四川省宜宾市高县月江镇刚记超市斜对面(还阳组团沪碳二期项目)</v>
      </c>
      <c r="J2066" s="120" t="str">
        <f>VLOOKUP(B2066,辅助信息!E:I,4,FALSE)</f>
        <v>张朝亮</v>
      </c>
      <c r="K2066" s="120">
        <f>VLOOKUP(J2066,辅助信息!H:I,2,FALSE)</f>
        <v>15228205853</v>
      </c>
      <c r="L2066" s="122" t="str">
        <f>VLOOKUP(B2066,辅助信息!E:J,6,FALSE)</f>
        <v>提前联系到场规格</v>
      </c>
      <c r="M2066" s="91">
        <v>45838</v>
      </c>
      <c r="O2066" s="62">
        <f ca="1" t="shared" si="139"/>
        <v>0</v>
      </c>
      <c r="P2066" s="62">
        <f ca="1" t="shared" si="140"/>
        <v>122</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0">
        <v>45839</v>
      </c>
      <c r="D2067" s="120" t="str">
        <f>VLOOKUP(B2067,辅助信息!E:K,7,FALSE)</f>
        <v>JWDDCD2024101600133</v>
      </c>
      <c r="E2067" s="120" t="str">
        <f>VLOOKUP(F2067,辅助信息!A:B,2,FALSE)</f>
        <v>螺纹钢</v>
      </c>
      <c r="F2067" s="40" t="s">
        <v>18</v>
      </c>
      <c r="G2067" s="36">
        <v>36</v>
      </c>
      <c r="H2067" s="134">
        <f>_xlfn.XLOOKUP(C2067&amp;F2067&amp;I2067&amp;J2067,'[1]2025年已发货'!$F:$F&amp;'[1]2025年已发货'!$C:$C&amp;'[1]2025年已发货'!$G:$G&amp;'[1]2025年已发货'!$H:$H,'[1]2025年已发货'!$E:$E,"未发货")</f>
        <v>36</v>
      </c>
      <c r="I2067" s="120" t="str">
        <f>VLOOKUP(B2067,辅助信息!E:I,3,FALSE)</f>
        <v>（五冶钢构宜宾高县月江镇建设项目）  四川省宜宾市高县月江镇刚记超市斜对面(还阳组团沪碳二期项目)</v>
      </c>
      <c r="J2067" s="120" t="str">
        <f>VLOOKUP(B2067,辅助信息!E:I,4,FALSE)</f>
        <v>张朝亮</v>
      </c>
      <c r="K2067" s="120">
        <f>VLOOKUP(J2067,辅助信息!H:I,2,FALSE)</f>
        <v>15228205853</v>
      </c>
      <c r="L2067" s="122" t="str">
        <f>VLOOKUP(B2067,辅助信息!E:J,6,FALSE)</f>
        <v>提前联系到场规格</v>
      </c>
      <c r="M2067" s="91">
        <v>45838</v>
      </c>
      <c r="O2067" s="62">
        <f ca="1" t="shared" ref="O2067:O2112" si="141">IF(OR(M2067="",N2067&lt;&gt;""),"",MAX(M2067-TODAY(),0))</f>
        <v>0</v>
      </c>
      <c r="P2067" s="62">
        <f ca="1" t="shared" ref="P2067:P2112" si="142">IF(M2067="","",IF(N2067&lt;&gt;"",MAX(N2067-M2067,0),IF(TODAY()&gt;M2067,TODAY()-M2067,0)))</f>
        <v>122</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0">
        <v>45839</v>
      </c>
      <c r="D2068" s="120" t="str">
        <f>VLOOKUP(B2068,辅助信息!E:K,7,FALSE)</f>
        <v>JWDDCD2025072900123</v>
      </c>
      <c r="E2068" s="120" t="str">
        <f>VLOOKUP(F2068,辅助信息!A:B,2,FALSE)</f>
        <v>盘螺</v>
      </c>
      <c r="F2068" s="40" t="s">
        <v>49</v>
      </c>
      <c r="G2068" s="36">
        <v>2.5</v>
      </c>
      <c r="H2068" s="134">
        <f>_xlfn.XLOOKUP(C2068&amp;F2068&amp;I2068&amp;J2068,'[1]2025年已发货'!$F:$F&amp;'[1]2025年已发货'!$C:$C&amp;'[1]2025年已发货'!$G:$G&amp;'[1]2025年已发货'!$H:$H,'[1]2025年已发货'!$E:$E,"未发货")</f>
        <v>2.5</v>
      </c>
      <c r="I2068" s="120" t="str">
        <f>VLOOKUP(B2068,辅助信息!E:I,3,FALSE)</f>
        <v>(乐山市校地共建产教融合基地建设项目二标段)四川省乐山市市中区苏稽镇</v>
      </c>
      <c r="J2068" s="120" t="str">
        <f>VLOOKUP(B2068,辅助信息!E:I,4,FALSE)</f>
        <v>彭江涛</v>
      </c>
      <c r="K2068" s="120">
        <f>VLOOKUP(J2068,辅助信息!H:I,2,FALSE)</f>
        <v>13990276572</v>
      </c>
      <c r="L2068" s="122" t="str">
        <f>VLOOKUP(B2068,辅助信息!E:J,6,FALSE)</f>
        <v>联系实际收货人（彭江涛13990276572）现场要求炉批号控制2个以下，超2个不给予签收。提前联系到场规格及数量</v>
      </c>
      <c r="M2068" s="91">
        <v>45838</v>
      </c>
      <c r="O2068" s="62">
        <f ca="1" t="shared" si="141"/>
        <v>0</v>
      </c>
      <c r="P2068" s="62">
        <f ca="1" t="shared" si="142"/>
        <v>122</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0">
        <v>45839</v>
      </c>
      <c r="D2069" s="120" t="str">
        <f>VLOOKUP(B2069,辅助信息!E:K,7,FALSE)</f>
        <v>JWDDCD2025072900123</v>
      </c>
      <c r="E2069" s="120" t="str">
        <f>VLOOKUP(F2069,辅助信息!A:B,2,FALSE)</f>
        <v>盘螺</v>
      </c>
      <c r="F2069" s="40" t="s">
        <v>40</v>
      </c>
      <c r="G2069" s="36">
        <v>12.5</v>
      </c>
      <c r="H2069" s="134">
        <f>_xlfn.XLOOKUP(C2069&amp;F2069&amp;I2069&amp;J2069,'[1]2025年已发货'!$F:$F&amp;'[1]2025年已发货'!$C:$C&amp;'[1]2025年已发货'!$G:$G&amp;'[1]2025年已发货'!$H:$H,'[1]2025年已发货'!$E:$E,"未发货")</f>
        <v>12.5</v>
      </c>
      <c r="I2069" s="120" t="str">
        <f>VLOOKUP(B2069,辅助信息!E:I,3,FALSE)</f>
        <v>(乐山市校地共建产教融合基地建设项目二标段)四川省乐山市市中区苏稽镇</v>
      </c>
      <c r="J2069" s="120" t="str">
        <f>VLOOKUP(B2069,辅助信息!E:I,4,FALSE)</f>
        <v>彭江涛</v>
      </c>
      <c r="K2069" s="120">
        <f>VLOOKUP(J2069,辅助信息!H:I,2,FALSE)</f>
        <v>13990276572</v>
      </c>
      <c r="L2069" s="122" t="str">
        <f>VLOOKUP(B2069,辅助信息!E:J,6,FALSE)</f>
        <v>联系实际收货人（彭江涛13990276572）现场要求炉批号控制2个以下，超2个不给予签收。提前联系到场规格及数量</v>
      </c>
      <c r="M2069" s="91">
        <v>45838</v>
      </c>
      <c r="O2069" s="62">
        <f ca="1" t="shared" si="141"/>
        <v>0</v>
      </c>
      <c r="P2069" s="62">
        <f ca="1" t="shared" si="142"/>
        <v>122</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0">
        <v>45839</v>
      </c>
      <c r="D2070" s="120" t="str">
        <f>VLOOKUP(B2070,辅助信息!E:K,7,FALSE)</f>
        <v>JWDDCD2025072900123</v>
      </c>
      <c r="E2070" s="120" t="str">
        <f>VLOOKUP(F2070,辅助信息!A:B,2,FALSE)</f>
        <v>盘螺</v>
      </c>
      <c r="F2070" s="40" t="s">
        <v>41</v>
      </c>
      <c r="G2070" s="36">
        <v>15</v>
      </c>
      <c r="H2070" s="134">
        <f>_xlfn.XLOOKUP(C2070&amp;F2070&amp;I2070&amp;J2070,'[1]2025年已发货'!$F:$F&amp;'[1]2025年已发货'!$C:$C&amp;'[1]2025年已发货'!$G:$G&amp;'[1]2025年已发货'!$H:$H,'[1]2025年已发货'!$E:$E,"未发货")</f>
        <v>15</v>
      </c>
      <c r="I2070" s="120" t="str">
        <f>VLOOKUP(B2070,辅助信息!E:I,3,FALSE)</f>
        <v>(乐山市校地共建产教融合基地建设项目二标段)四川省乐山市市中区苏稽镇</v>
      </c>
      <c r="J2070" s="120" t="str">
        <f>VLOOKUP(B2070,辅助信息!E:I,4,FALSE)</f>
        <v>彭江涛</v>
      </c>
      <c r="K2070" s="120">
        <f>VLOOKUP(J2070,辅助信息!H:I,2,FALSE)</f>
        <v>13990276572</v>
      </c>
      <c r="L2070" s="122" t="str">
        <f>VLOOKUP(B2070,辅助信息!E:J,6,FALSE)</f>
        <v>联系实际收货人（彭江涛13990276572）现场要求炉批号控制2个以下，超2个不给予签收。提前联系到场规格及数量</v>
      </c>
      <c r="M2070" s="91">
        <v>45838</v>
      </c>
      <c r="O2070" s="62">
        <f ca="1" t="shared" si="141"/>
        <v>0</v>
      </c>
      <c r="P2070" s="62">
        <f ca="1" t="shared" si="142"/>
        <v>122</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0">
        <v>45839</v>
      </c>
      <c r="D2071" s="120" t="str">
        <f>VLOOKUP(B2071,辅助信息!E:K,7,FALSE)</f>
        <v>JWDDCD2025072900123</v>
      </c>
      <c r="E2071" s="120" t="str">
        <f>VLOOKUP(F2071,辅助信息!A:B,2,FALSE)</f>
        <v>螺纹钢</v>
      </c>
      <c r="F2071" s="40" t="s">
        <v>66</v>
      </c>
      <c r="G2071" s="36">
        <v>12</v>
      </c>
      <c r="H2071" s="134" t="str">
        <f>_xlfn.XLOOKUP(C2071&amp;F2071&amp;I2071&amp;J2071,'[1]2025年已发货'!$F:$F&amp;'[1]2025年已发货'!$C:$C&amp;'[1]2025年已发货'!$G:$G&amp;'[1]2025年已发货'!$H:$H,'[1]2025年已发货'!$E:$E,"未发货")</f>
        <v>未发货</v>
      </c>
      <c r="I2071" s="120" t="str">
        <f>VLOOKUP(B2071,辅助信息!E:I,3,FALSE)</f>
        <v>(乐山市校地共建产教融合基地建设项目二标段)四川省乐山市市中区苏稽镇</v>
      </c>
      <c r="J2071" s="120" t="str">
        <f>VLOOKUP(B2071,辅助信息!E:I,4,FALSE)</f>
        <v>彭江涛</v>
      </c>
      <c r="K2071" s="120">
        <f>VLOOKUP(J2071,辅助信息!H:I,2,FALSE)</f>
        <v>13990276572</v>
      </c>
      <c r="L2071" s="122" t="str">
        <f>VLOOKUP(B2071,辅助信息!E:J,6,FALSE)</f>
        <v>联系实际收货人（彭江涛13990276572）现场要求炉批号控制2个以下，超2个不给予签收。提前联系到场规格及数量</v>
      </c>
      <c r="M2071" s="91">
        <v>45838</v>
      </c>
      <c r="O2071" s="62">
        <f ca="1" t="shared" si="141"/>
        <v>0</v>
      </c>
      <c r="P2071" s="62">
        <f ca="1" t="shared" si="142"/>
        <v>122</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0">
        <v>45839</v>
      </c>
      <c r="D2072" s="120" t="str">
        <f>VLOOKUP(B2072,辅助信息!E:K,7,FALSE)</f>
        <v>JWDDCD2025072900123</v>
      </c>
      <c r="E2072" s="120" t="str">
        <f>VLOOKUP(F2072,辅助信息!A:B,2,FALSE)</f>
        <v>螺纹钢</v>
      </c>
      <c r="F2072" s="40" t="s">
        <v>82</v>
      </c>
      <c r="G2072" s="36">
        <v>3</v>
      </c>
      <c r="H2072" s="134">
        <f>_xlfn.XLOOKUP(C2072&amp;F2072&amp;I2072&amp;J2072,'[1]2025年已发货'!$F:$F&amp;'[1]2025年已发货'!$C:$C&amp;'[1]2025年已发货'!$G:$G&amp;'[1]2025年已发货'!$H:$H,'[1]2025年已发货'!$E:$E,"未发货")</f>
        <v>3</v>
      </c>
      <c r="I2072" s="120" t="str">
        <f>VLOOKUP(B2072,辅助信息!E:I,3,FALSE)</f>
        <v>(乐山市校地共建产教融合基地建设项目二标段)四川省乐山市市中区苏稽镇</v>
      </c>
      <c r="J2072" s="120" t="str">
        <f>VLOOKUP(B2072,辅助信息!E:I,4,FALSE)</f>
        <v>彭江涛</v>
      </c>
      <c r="K2072" s="120">
        <f>VLOOKUP(J2072,辅助信息!H:I,2,FALSE)</f>
        <v>13990276572</v>
      </c>
      <c r="L2072" s="122" t="str">
        <f>VLOOKUP(B2072,辅助信息!E:J,6,FALSE)</f>
        <v>联系实际收货人（彭江涛13990276572）现场要求炉批号控制2个以下，超2个不给予签收。提前联系到场规格及数量</v>
      </c>
      <c r="M2072" s="91">
        <v>45838</v>
      </c>
      <c r="O2072" s="62">
        <f ca="1" t="shared" si="141"/>
        <v>0</v>
      </c>
      <c r="P2072" s="62">
        <f ca="1" t="shared" si="142"/>
        <v>122</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0">
        <v>45839</v>
      </c>
      <c r="D2073" s="120" t="str">
        <f>VLOOKUP(B2073,辅助信息!E:K,7,FALSE)</f>
        <v>JWDDCD2025072900123</v>
      </c>
      <c r="E2073" s="120" t="str">
        <f>VLOOKUP(F2073,辅助信息!A:B,2,FALSE)</f>
        <v>螺纹钢</v>
      </c>
      <c r="F2073" s="40" t="s">
        <v>45</v>
      </c>
      <c r="G2073" s="36">
        <v>3</v>
      </c>
      <c r="H2073" s="134" t="str">
        <f>_xlfn.XLOOKUP(C2073&amp;F2073&amp;I2073&amp;J2073,'[1]2025年已发货'!$F:$F&amp;'[1]2025年已发货'!$C:$C&amp;'[1]2025年已发货'!$G:$G&amp;'[1]2025年已发货'!$H:$H,'[1]2025年已发货'!$E:$E,"未发货")</f>
        <v>未发货</v>
      </c>
      <c r="I2073" s="120" t="str">
        <f>VLOOKUP(B2073,辅助信息!E:I,3,FALSE)</f>
        <v>(乐山市校地共建产教融合基地建设项目二标段)四川省乐山市市中区苏稽镇</v>
      </c>
      <c r="J2073" s="120" t="str">
        <f>VLOOKUP(B2073,辅助信息!E:I,4,FALSE)</f>
        <v>彭江涛</v>
      </c>
      <c r="K2073" s="120">
        <f>VLOOKUP(J2073,辅助信息!H:I,2,FALSE)</f>
        <v>13990276572</v>
      </c>
      <c r="L2073" s="122" t="str">
        <f>VLOOKUP(B2073,辅助信息!E:J,6,FALSE)</f>
        <v>联系实际收货人（彭江涛13990276572）现场要求炉批号控制2个以下，超2个不给予签收。提前联系到场规格及数量</v>
      </c>
      <c r="M2073" s="91">
        <v>45838</v>
      </c>
      <c r="O2073" s="62">
        <f ca="1" t="shared" si="141"/>
        <v>0</v>
      </c>
      <c r="P2073" s="62">
        <f ca="1" t="shared" si="142"/>
        <v>122</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0">
        <v>45839</v>
      </c>
      <c r="D2074" s="120" t="str">
        <f>VLOOKUP(B2074,辅助信息!E:K,7,FALSE)</f>
        <v>JWDDCD2025072900123</v>
      </c>
      <c r="E2074" s="120" t="str">
        <f>VLOOKUP(F2074,辅助信息!A:B,2,FALSE)</f>
        <v>螺纹钢</v>
      </c>
      <c r="F2074" s="40" t="s">
        <v>21</v>
      </c>
      <c r="G2074" s="36">
        <v>3</v>
      </c>
      <c r="H2074" s="134" t="str">
        <f>_xlfn.XLOOKUP(C2074&amp;F2074&amp;I2074&amp;J2074,'[1]2025年已发货'!$F:$F&amp;'[1]2025年已发货'!$C:$C&amp;'[1]2025年已发货'!$G:$G&amp;'[1]2025年已发货'!$H:$H,'[1]2025年已发货'!$E:$E,"未发货")</f>
        <v>未发货</v>
      </c>
      <c r="I2074" s="120" t="str">
        <f>VLOOKUP(B2074,辅助信息!E:I,3,FALSE)</f>
        <v>(乐山市校地共建产教融合基地建设项目二标段)四川省乐山市市中区苏稽镇</v>
      </c>
      <c r="J2074" s="120" t="str">
        <f>VLOOKUP(B2074,辅助信息!E:I,4,FALSE)</f>
        <v>彭江涛</v>
      </c>
      <c r="K2074" s="120">
        <f>VLOOKUP(J2074,辅助信息!H:I,2,FALSE)</f>
        <v>13990276572</v>
      </c>
      <c r="L2074" s="122" t="str">
        <f>VLOOKUP(B2074,辅助信息!E:J,6,FALSE)</f>
        <v>联系实际收货人（彭江涛13990276572）现场要求炉批号控制2个以下，超2个不给予签收。提前联系到场规格及数量</v>
      </c>
      <c r="M2074" s="91">
        <v>45838</v>
      </c>
      <c r="O2074" s="62">
        <f ca="1" t="shared" si="141"/>
        <v>0</v>
      </c>
      <c r="P2074" s="62">
        <f ca="1" t="shared" si="142"/>
        <v>122</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0">
        <v>45839</v>
      </c>
      <c r="D2075" s="120" t="str">
        <f>VLOOKUP(B2075,辅助信息!E:K,7,FALSE)</f>
        <v>JWDDCD2025072900123</v>
      </c>
      <c r="E2075" s="120" t="str">
        <f>VLOOKUP(F2075,辅助信息!A:B,2,FALSE)</f>
        <v>螺纹钢</v>
      </c>
      <c r="F2075" s="40" t="s">
        <v>58</v>
      </c>
      <c r="G2075" s="36">
        <v>3</v>
      </c>
      <c r="H2075" s="134" t="str">
        <f>_xlfn.XLOOKUP(C2075&amp;F2075&amp;I2075&amp;J2075,'[1]2025年已发货'!$F:$F&amp;'[1]2025年已发货'!$C:$C&amp;'[1]2025年已发货'!$G:$G&amp;'[1]2025年已发货'!$H:$H,'[1]2025年已发货'!$E:$E,"未发货")</f>
        <v>未发货</v>
      </c>
      <c r="I2075" s="120" t="str">
        <f>VLOOKUP(B2075,辅助信息!E:I,3,FALSE)</f>
        <v>(乐山市校地共建产教融合基地建设项目二标段)四川省乐山市市中区苏稽镇</v>
      </c>
      <c r="J2075" s="120" t="str">
        <f>VLOOKUP(B2075,辅助信息!E:I,4,FALSE)</f>
        <v>彭江涛</v>
      </c>
      <c r="K2075" s="120">
        <f>VLOOKUP(J2075,辅助信息!H:I,2,FALSE)</f>
        <v>13990276572</v>
      </c>
      <c r="L2075" s="122" t="str">
        <f>VLOOKUP(B2075,辅助信息!E:J,6,FALSE)</f>
        <v>联系实际收货人（彭江涛13990276572）现场要求炉批号控制2个以下，超2个不给予签收。提前联系到场规格及数量</v>
      </c>
      <c r="M2075" s="91">
        <v>45838</v>
      </c>
      <c r="O2075" s="62">
        <f ca="1" t="shared" si="141"/>
        <v>0</v>
      </c>
      <c r="P2075" s="62">
        <f ca="1" t="shared" si="142"/>
        <v>122</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0">
        <v>45839</v>
      </c>
      <c r="D2076" s="120" t="str">
        <f>VLOOKUP(B2076,辅助信息!E:K,7,FALSE)</f>
        <v>JWDDCD2025072900123</v>
      </c>
      <c r="E2076" s="120" t="str">
        <f>VLOOKUP(F2076,辅助信息!A:B,2,FALSE)</f>
        <v>螺纹钢</v>
      </c>
      <c r="F2076" s="40" t="s">
        <v>46</v>
      </c>
      <c r="G2076" s="36">
        <v>3</v>
      </c>
      <c r="H2076" s="134" t="str">
        <f>_xlfn.XLOOKUP(C2076&amp;F2076&amp;I2076&amp;J2076,'[1]2025年已发货'!$F:$F&amp;'[1]2025年已发货'!$C:$C&amp;'[1]2025年已发货'!$G:$G&amp;'[1]2025年已发货'!$H:$H,'[1]2025年已发货'!$E:$E,"未发货")</f>
        <v>未发货</v>
      </c>
      <c r="I2076" s="120" t="str">
        <f>VLOOKUP(B2076,辅助信息!E:I,3,FALSE)</f>
        <v>(乐山市校地共建产教融合基地建设项目二标段)四川省乐山市市中区苏稽镇</v>
      </c>
      <c r="J2076" s="120" t="str">
        <f>VLOOKUP(B2076,辅助信息!E:I,4,FALSE)</f>
        <v>彭江涛</v>
      </c>
      <c r="K2076" s="120">
        <f>VLOOKUP(J2076,辅助信息!H:I,2,FALSE)</f>
        <v>13990276572</v>
      </c>
      <c r="L2076" s="122" t="str">
        <f>VLOOKUP(B2076,辅助信息!E:J,6,FALSE)</f>
        <v>联系实际收货人（彭江涛13990276572）现场要求炉批号控制2个以下，超2个不给予签收。提前联系到场规格及数量</v>
      </c>
      <c r="M2076" s="91">
        <v>45838</v>
      </c>
      <c r="O2076" s="62">
        <f ca="1" t="shared" si="141"/>
        <v>0</v>
      </c>
      <c r="P2076" s="62">
        <f ca="1" t="shared" si="142"/>
        <v>122</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0">
        <v>45839</v>
      </c>
      <c r="D2077" s="120" t="str">
        <f>VLOOKUP(B2077,辅助信息!E:K,7,FALSE)</f>
        <v>JWDDCD2025072900123</v>
      </c>
      <c r="E2077" s="120" t="str">
        <f>VLOOKUP(F2077,辅助信息!A:B,2,FALSE)</f>
        <v>螺纹钢</v>
      </c>
      <c r="F2077" s="40" t="s">
        <v>22</v>
      </c>
      <c r="G2077" s="36">
        <v>27</v>
      </c>
      <c r="H2077" s="134" t="str">
        <f>_xlfn.XLOOKUP(C2077&amp;F2077&amp;I2077&amp;J2077,'[1]2025年已发货'!$F:$F&amp;'[1]2025年已发货'!$C:$C&amp;'[1]2025年已发货'!$G:$G&amp;'[1]2025年已发货'!$H:$H,'[1]2025年已发货'!$E:$E,"未发货")</f>
        <v>未发货</v>
      </c>
      <c r="I2077" s="120" t="str">
        <f>VLOOKUP(B2077,辅助信息!E:I,3,FALSE)</f>
        <v>(乐山市校地共建产教融合基地建设项目二标段)四川省乐山市市中区苏稽镇</v>
      </c>
      <c r="J2077" s="120" t="str">
        <f>VLOOKUP(B2077,辅助信息!E:I,4,FALSE)</f>
        <v>彭江涛</v>
      </c>
      <c r="K2077" s="120">
        <f>VLOOKUP(J2077,辅助信息!H:I,2,FALSE)</f>
        <v>13990276572</v>
      </c>
      <c r="L2077" s="122" t="str">
        <f>VLOOKUP(B2077,辅助信息!E:J,6,FALSE)</f>
        <v>联系实际收货人（彭江涛13990276572）现场要求炉批号控制2个以下，超2个不给予签收。提前联系到场规格及数量</v>
      </c>
      <c r="M2077" s="91">
        <v>45838</v>
      </c>
      <c r="O2077" s="62">
        <f ca="1" t="shared" si="141"/>
        <v>0</v>
      </c>
      <c r="P2077" s="62">
        <f ca="1" t="shared" si="142"/>
        <v>122</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0">
        <v>45839</v>
      </c>
      <c r="D2078" s="120" t="str">
        <f>VLOOKUP(B2078,辅助信息!E:K,7,FALSE)</f>
        <v>JWDDCD2025072900123</v>
      </c>
      <c r="E2078" s="120" t="str">
        <f>VLOOKUP(F2078,辅助信息!A:B,2,FALSE)</f>
        <v>螺纹钢</v>
      </c>
      <c r="F2078" s="40" t="s">
        <v>181</v>
      </c>
      <c r="G2078" s="36">
        <v>3</v>
      </c>
      <c r="H2078" s="134" t="str">
        <f>_xlfn.XLOOKUP(C2078&amp;F2078&amp;I2078&amp;J2078,'[1]2025年已发货'!$F:$F&amp;'[1]2025年已发货'!$C:$C&amp;'[1]2025年已发货'!$G:$G&amp;'[1]2025年已发货'!$H:$H,'[1]2025年已发货'!$E:$E,"未发货")</f>
        <v>未发货</v>
      </c>
      <c r="I2078" s="120" t="str">
        <f>VLOOKUP(B2078,辅助信息!E:I,3,FALSE)</f>
        <v>(乐山市校地共建产教融合基地建设项目二标段)四川省乐山市市中区苏稽镇</v>
      </c>
      <c r="J2078" s="120" t="str">
        <f>VLOOKUP(B2078,辅助信息!E:I,4,FALSE)</f>
        <v>彭江涛</v>
      </c>
      <c r="K2078" s="120">
        <f>VLOOKUP(J2078,辅助信息!H:I,2,FALSE)</f>
        <v>13990276572</v>
      </c>
      <c r="L2078" s="122" t="str">
        <f>VLOOKUP(B2078,辅助信息!E:J,6,FALSE)</f>
        <v>联系实际收货人（彭江涛13990276572）现场要求炉批号控制2个以下，超2个不给予签收。提前联系到场规格及数量</v>
      </c>
      <c r="M2078" s="91">
        <v>45838</v>
      </c>
      <c r="O2078" s="62">
        <f ca="1" t="shared" si="141"/>
        <v>0</v>
      </c>
      <c r="P2078" s="62">
        <f ca="1" t="shared" si="142"/>
        <v>122</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0">
        <v>45839</v>
      </c>
      <c r="D2079" s="120" t="str">
        <f>VLOOKUP(B2079,辅助信息!E:K,7,FALSE)</f>
        <v>JWDDCD2025072900123</v>
      </c>
      <c r="E2079" s="120" t="str">
        <f>VLOOKUP(F2079,辅助信息!A:B,2,FALSE)</f>
        <v>螺纹钢</v>
      </c>
      <c r="F2079" s="40" t="s">
        <v>182</v>
      </c>
      <c r="G2079" s="36">
        <v>3</v>
      </c>
      <c r="H2079" s="134" t="str">
        <f>_xlfn.XLOOKUP(C2079&amp;F2079&amp;I2079&amp;J2079,'[1]2025年已发货'!$F:$F&amp;'[1]2025年已发货'!$C:$C&amp;'[1]2025年已发货'!$G:$G&amp;'[1]2025年已发货'!$H:$H,'[1]2025年已发货'!$E:$E,"未发货")</f>
        <v>未发货</v>
      </c>
      <c r="I2079" s="120" t="str">
        <f>VLOOKUP(B2079,辅助信息!E:I,3,FALSE)</f>
        <v>(乐山市校地共建产教融合基地建设项目二标段)四川省乐山市市中区苏稽镇</v>
      </c>
      <c r="J2079" s="120" t="str">
        <f>VLOOKUP(B2079,辅助信息!E:I,4,FALSE)</f>
        <v>彭江涛</v>
      </c>
      <c r="K2079" s="120">
        <f>VLOOKUP(J2079,辅助信息!H:I,2,FALSE)</f>
        <v>13990276572</v>
      </c>
      <c r="L2079" s="122" t="str">
        <f>VLOOKUP(B2079,辅助信息!E:J,6,FALSE)</f>
        <v>联系实际收货人（彭江涛13990276572）现场要求炉批号控制2个以下，超2个不给予签收。提前联系到场规格及数量</v>
      </c>
      <c r="M2079" s="91">
        <v>45838</v>
      </c>
      <c r="O2079" s="62">
        <f ca="1" t="shared" si="141"/>
        <v>0</v>
      </c>
      <c r="P2079" s="62">
        <f ca="1" t="shared" si="142"/>
        <v>122</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0">
        <v>45839</v>
      </c>
      <c r="D2080" s="120" t="str">
        <f>VLOOKUP(B2080,辅助信息!E:K,7,FALSE)</f>
        <v>JWDDCD2024121000136</v>
      </c>
      <c r="E2080" s="120" t="str">
        <f>VLOOKUP(F2080,辅助信息!A:B,2,FALSE)</f>
        <v>高线</v>
      </c>
      <c r="F2080" s="40" t="s">
        <v>53</v>
      </c>
      <c r="G2080" s="36">
        <v>2.5</v>
      </c>
      <c r="H2080" s="134">
        <f>_xlfn.XLOOKUP(C2080&amp;F2080&amp;I2080&amp;J2080,'[1]2025年已发货'!$F:$F&amp;'[1]2025年已发货'!$C:$C&amp;'[1]2025年已发货'!$G:$G&amp;'[1]2025年已发货'!$H:$H,'[1]2025年已发货'!$E:$E,"未发货")</f>
        <v>2.5</v>
      </c>
      <c r="I2080" s="120" t="str">
        <f>VLOOKUP(B2080,辅助信息!E:I,3,FALSE)</f>
        <v>（四川商建-射洪城乡一体化项目）遂宁市射洪市忠新幼儿园北侧约220米新溪小区</v>
      </c>
      <c r="J2080" s="120" t="str">
        <f>VLOOKUP(B2080,辅助信息!E:I,4,FALSE)</f>
        <v>柏子刚</v>
      </c>
      <c r="K2080" s="120">
        <f>VLOOKUP(J2080,辅助信息!H:I,2,FALSE)</f>
        <v>15692885305</v>
      </c>
      <c r="L2080" s="122" t="str">
        <f>VLOOKUP(B2080,辅助信息!E:J,6,FALSE)</f>
        <v>提前联系到场规格及数量</v>
      </c>
      <c r="M2080" s="91">
        <v>45838</v>
      </c>
      <c r="O2080" s="62">
        <f ca="1" t="shared" si="141"/>
        <v>0</v>
      </c>
      <c r="P2080" s="62">
        <f ca="1" t="shared" si="142"/>
        <v>122</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0">
        <v>45839</v>
      </c>
      <c r="D2081" s="120" t="str">
        <f>VLOOKUP(B2081,辅助信息!E:K,7,FALSE)</f>
        <v>JWDDCD2024121000136</v>
      </c>
      <c r="E2081" s="120" t="str">
        <f>VLOOKUP(F2081,辅助信息!A:B,2,FALSE)</f>
        <v>螺纹钢</v>
      </c>
      <c r="F2081" s="40" t="s">
        <v>66</v>
      </c>
      <c r="G2081" s="36">
        <v>3</v>
      </c>
      <c r="H2081" s="134">
        <f>_xlfn.XLOOKUP(C2081&amp;F2081&amp;I2081&amp;J2081,'[1]2025年已发货'!$F:$F&amp;'[1]2025年已发货'!$C:$C&amp;'[1]2025年已发货'!$G:$G&amp;'[1]2025年已发货'!$H:$H,'[1]2025年已发货'!$E:$E,"未发货")</f>
        <v>3</v>
      </c>
      <c r="I2081" s="120" t="str">
        <f>VLOOKUP(B2081,辅助信息!E:I,3,FALSE)</f>
        <v>（四川商建-射洪城乡一体化项目）遂宁市射洪市忠新幼儿园北侧约220米新溪小区</v>
      </c>
      <c r="J2081" s="120" t="str">
        <f>VLOOKUP(B2081,辅助信息!E:I,4,FALSE)</f>
        <v>柏子刚</v>
      </c>
      <c r="K2081" s="120">
        <f>VLOOKUP(J2081,辅助信息!H:I,2,FALSE)</f>
        <v>15692885305</v>
      </c>
      <c r="L2081" s="122" t="str">
        <f>VLOOKUP(B2081,辅助信息!E:J,6,FALSE)</f>
        <v>提前联系到场规格及数量</v>
      </c>
      <c r="M2081" s="91">
        <v>45838</v>
      </c>
      <c r="O2081" s="62">
        <f ca="1" t="shared" si="141"/>
        <v>0</v>
      </c>
      <c r="P2081" s="62">
        <f ca="1" t="shared" si="142"/>
        <v>122</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0">
        <v>45839</v>
      </c>
      <c r="D2082" s="120" t="str">
        <f>VLOOKUP(B2082,辅助信息!E:K,7,FALSE)</f>
        <v>JWDDCD2024121000136</v>
      </c>
      <c r="E2082" s="120" t="str">
        <f>VLOOKUP(F2082,辅助信息!A:B,2,FALSE)</f>
        <v>螺纹钢</v>
      </c>
      <c r="F2082" s="40" t="s">
        <v>45</v>
      </c>
      <c r="G2082" s="36">
        <v>3</v>
      </c>
      <c r="H2082" s="134">
        <f>_xlfn.XLOOKUP(C2082&amp;F2082&amp;I2082&amp;J2082,'[1]2025年已发货'!$F:$F&amp;'[1]2025年已发货'!$C:$C&amp;'[1]2025年已发货'!$G:$G&amp;'[1]2025年已发货'!$H:$H,'[1]2025年已发货'!$E:$E,"未发货")</f>
        <v>3</v>
      </c>
      <c r="I2082" s="120" t="str">
        <f>VLOOKUP(B2082,辅助信息!E:I,3,FALSE)</f>
        <v>（四川商建-射洪城乡一体化项目）遂宁市射洪市忠新幼儿园北侧约220米新溪小区</v>
      </c>
      <c r="J2082" s="120" t="str">
        <f>VLOOKUP(B2082,辅助信息!E:I,4,FALSE)</f>
        <v>柏子刚</v>
      </c>
      <c r="K2082" s="120">
        <f>VLOOKUP(J2082,辅助信息!H:I,2,FALSE)</f>
        <v>15692885305</v>
      </c>
      <c r="L2082" s="122" t="str">
        <f>VLOOKUP(B2082,辅助信息!E:J,6,FALSE)</f>
        <v>提前联系到场规格及数量</v>
      </c>
      <c r="M2082" s="91">
        <v>45838</v>
      </c>
      <c r="O2082" s="62">
        <f ca="1" t="shared" si="141"/>
        <v>0</v>
      </c>
      <c r="P2082" s="62">
        <f ca="1" t="shared" si="142"/>
        <v>122</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0">
        <v>45839</v>
      </c>
      <c r="D2083" s="120" t="str">
        <f>VLOOKUP(B2083,辅助信息!E:K,7,FALSE)</f>
        <v>JWDDCD2024121000136</v>
      </c>
      <c r="E2083" s="120" t="str">
        <f>VLOOKUP(F2083,辅助信息!A:B,2,FALSE)</f>
        <v>螺纹钢</v>
      </c>
      <c r="F2083" s="40" t="s">
        <v>21</v>
      </c>
      <c r="G2083" s="36">
        <v>3</v>
      </c>
      <c r="H2083" s="134">
        <f>_xlfn.XLOOKUP(C2083&amp;F2083&amp;I2083&amp;J2083,'[1]2025年已发货'!$F:$F&amp;'[1]2025年已发货'!$C:$C&amp;'[1]2025年已发货'!$G:$G&amp;'[1]2025年已发货'!$H:$H,'[1]2025年已发货'!$E:$E,"未发货")</f>
        <v>3</v>
      </c>
      <c r="I2083" s="120" t="str">
        <f>VLOOKUP(B2083,辅助信息!E:I,3,FALSE)</f>
        <v>（四川商建-射洪城乡一体化项目）遂宁市射洪市忠新幼儿园北侧约220米新溪小区</v>
      </c>
      <c r="J2083" s="120" t="str">
        <f>VLOOKUP(B2083,辅助信息!E:I,4,FALSE)</f>
        <v>柏子刚</v>
      </c>
      <c r="K2083" s="120">
        <f>VLOOKUP(J2083,辅助信息!H:I,2,FALSE)</f>
        <v>15692885305</v>
      </c>
      <c r="L2083" s="122" t="str">
        <f>VLOOKUP(B2083,辅助信息!E:J,6,FALSE)</f>
        <v>提前联系到场规格及数量</v>
      </c>
      <c r="M2083" s="91">
        <v>45838</v>
      </c>
      <c r="O2083" s="62">
        <f ca="1" t="shared" si="141"/>
        <v>0</v>
      </c>
      <c r="P2083" s="62">
        <f ca="1" t="shared" si="142"/>
        <v>122</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0">
        <v>45839</v>
      </c>
      <c r="D2084" s="120" t="str">
        <f>VLOOKUP(B2084,辅助信息!E:K,7,FALSE)</f>
        <v>JWDDCD2024121000136</v>
      </c>
      <c r="E2084" s="120" t="str">
        <f>VLOOKUP(F2084,辅助信息!A:B,2,FALSE)</f>
        <v>螺纹钢</v>
      </c>
      <c r="F2084" s="40" t="s">
        <v>58</v>
      </c>
      <c r="G2084" s="36">
        <v>6</v>
      </c>
      <c r="H2084" s="134">
        <f>_xlfn.XLOOKUP(C2084&amp;F2084&amp;I2084&amp;J2084,'[1]2025年已发货'!$F:$F&amp;'[1]2025年已发货'!$C:$C&amp;'[1]2025年已发货'!$G:$G&amp;'[1]2025年已发货'!$H:$H,'[1]2025年已发货'!$E:$E,"未发货")</f>
        <v>6</v>
      </c>
      <c r="I2084" s="120" t="str">
        <f>VLOOKUP(B2084,辅助信息!E:I,3,FALSE)</f>
        <v>（四川商建-射洪城乡一体化项目）遂宁市射洪市忠新幼儿园北侧约220米新溪小区</v>
      </c>
      <c r="J2084" s="120" t="str">
        <f>VLOOKUP(B2084,辅助信息!E:I,4,FALSE)</f>
        <v>柏子刚</v>
      </c>
      <c r="K2084" s="120">
        <f>VLOOKUP(J2084,辅助信息!H:I,2,FALSE)</f>
        <v>15692885305</v>
      </c>
      <c r="L2084" s="122" t="str">
        <f>VLOOKUP(B2084,辅助信息!E:J,6,FALSE)</f>
        <v>提前联系到场规格及数量</v>
      </c>
      <c r="M2084" s="91">
        <v>45838</v>
      </c>
      <c r="O2084" s="62">
        <f ca="1" t="shared" si="141"/>
        <v>0</v>
      </c>
      <c r="P2084" s="62">
        <f ca="1" t="shared" si="142"/>
        <v>122</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0">
        <v>45839</v>
      </c>
      <c r="D2085" s="120" t="str">
        <f>VLOOKUP(B2085,辅助信息!E:K,7,FALSE)</f>
        <v>JWDDCD2024121000136</v>
      </c>
      <c r="E2085" s="120" t="str">
        <f>VLOOKUP(F2085,辅助信息!A:B,2,FALSE)</f>
        <v>螺纹钢</v>
      </c>
      <c r="F2085" s="40" t="s">
        <v>46</v>
      </c>
      <c r="G2085" s="36">
        <v>12</v>
      </c>
      <c r="H2085" s="134">
        <f>_xlfn.XLOOKUP(C2085&amp;F2085&amp;I2085&amp;J2085,'[1]2025年已发货'!$F:$F&amp;'[1]2025年已发货'!$C:$C&amp;'[1]2025年已发货'!$G:$G&amp;'[1]2025年已发货'!$H:$H,'[1]2025年已发货'!$E:$E,"未发货")</f>
        <v>12</v>
      </c>
      <c r="I2085" s="120" t="str">
        <f>VLOOKUP(B2085,辅助信息!E:I,3,FALSE)</f>
        <v>（四川商建-射洪城乡一体化项目）遂宁市射洪市忠新幼儿园北侧约220米新溪小区</v>
      </c>
      <c r="J2085" s="120" t="str">
        <f>VLOOKUP(B2085,辅助信息!E:I,4,FALSE)</f>
        <v>柏子刚</v>
      </c>
      <c r="K2085" s="120">
        <f>VLOOKUP(J2085,辅助信息!H:I,2,FALSE)</f>
        <v>15692885305</v>
      </c>
      <c r="L2085" s="122" t="str">
        <f>VLOOKUP(B2085,辅助信息!E:J,6,FALSE)</f>
        <v>提前联系到场规格及数量</v>
      </c>
      <c r="M2085" s="91">
        <v>45838</v>
      </c>
      <c r="O2085" s="62">
        <f ca="1" t="shared" si="141"/>
        <v>0</v>
      </c>
      <c r="P2085" s="62">
        <f ca="1" t="shared" si="142"/>
        <v>122</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0">
        <v>45839</v>
      </c>
      <c r="D2086" s="120" t="str">
        <f>VLOOKUP(B2086,辅助信息!E:K,7,FALSE)</f>
        <v>JWDDCD2024121000136</v>
      </c>
      <c r="E2086" s="120" t="str">
        <f>VLOOKUP(F2086,辅助信息!A:B,2,FALSE)</f>
        <v>螺纹钢</v>
      </c>
      <c r="F2086" s="40" t="s">
        <v>22</v>
      </c>
      <c r="G2086" s="36">
        <v>40.5</v>
      </c>
      <c r="H2086" s="134">
        <f>_xlfn.XLOOKUP(C2086&amp;F2086&amp;I2086&amp;J2086,'[1]2025年已发货'!$F:$F&amp;'[1]2025年已发货'!$C:$C&amp;'[1]2025年已发货'!$G:$G&amp;'[1]2025年已发货'!$H:$H,'[1]2025年已发货'!$E:$E,"未发货")</f>
        <v>39</v>
      </c>
      <c r="I2086" s="120" t="str">
        <f>VLOOKUP(B2086,辅助信息!E:I,3,FALSE)</f>
        <v>（四川商建-射洪城乡一体化项目）遂宁市射洪市忠新幼儿园北侧约220米新溪小区</v>
      </c>
      <c r="J2086" s="120" t="str">
        <f>VLOOKUP(B2086,辅助信息!E:I,4,FALSE)</f>
        <v>柏子刚</v>
      </c>
      <c r="K2086" s="120">
        <f>VLOOKUP(J2086,辅助信息!H:I,2,FALSE)</f>
        <v>15692885305</v>
      </c>
      <c r="L2086" s="122" t="str">
        <f>VLOOKUP(B2086,辅助信息!E:J,6,FALSE)</f>
        <v>提前联系到场规格及数量</v>
      </c>
      <c r="M2086" s="91">
        <v>45838</v>
      </c>
      <c r="O2086" s="62">
        <f ca="1" t="shared" si="141"/>
        <v>0</v>
      </c>
      <c r="P2086" s="62">
        <f ca="1" t="shared" si="142"/>
        <v>122</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0" t="s">
        <v>176</v>
      </c>
      <c r="C2087" s="70">
        <v>45842</v>
      </c>
      <c r="D2087" s="120" t="str">
        <f>VLOOKUP(B2087,辅助信息!E:K,7,FALSE)</f>
        <v>JWDDCD2025062200016</v>
      </c>
      <c r="E2087" s="120" t="str">
        <f>VLOOKUP(F2087,辅助信息!A:B,2,FALSE)</f>
        <v>高线</v>
      </c>
      <c r="F2087" s="120" t="s">
        <v>57</v>
      </c>
      <c r="G2087" s="121">
        <v>2.5</v>
      </c>
      <c r="H2087" s="134" t="str">
        <f>_xlfn.XLOOKUP(C2087&amp;F2087&amp;I2087&amp;J2087,'[1]2025年已发货'!$F:$F&amp;'[1]2025年已发货'!$C:$C&amp;'[1]2025年已发货'!$G:$G&amp;'[1]2025年已发货'!$H:$H,'[1]2025年已发货'!$E:$E,"未发货")</f>
        <v>未发货</v>
      </c>
      <c r="I2087" s="120" t="str">
        <f>VLOOKUP(B2087,辅助信息!E:I,3,FALSE)</f>
        <v>(武汉电气化局成达万高铁强电项目-渠县)四川省达州市渠县渠北镇雷家湾渠县北站旁</v>
      </c>
      <c r="J2087" s="120" t="str">
        <f>VLOOKUP(B2087,辅助信息!E:I,4,FALSE)</f>
        <v>刘频</v>
      </c>
      <c r="K2087" s="120">
        <f>VLOOKUP(J2087,辅助信息!H:I,2,FALSE)</f>
        <v>18779627939</v>
      </c>
      <c r="L2087" s="122" t="str">
        <f>VLOOKUP(B2087,辅助信息!E:J,6,FALSE)</f>
        <v>锈货不收！！下雨天钢筋没盖篷布不收！！，装货前联系收货人核实到场规格,没提前告知进场规格现场不给予接收</v>
      </c>
      <c r="M2087" s="91">
        <v>45841</v>
      </c>
      <c r="O2087" s="62">
        <f ca="1" t="shared" si="141"/>
        <v>0</v>
      </c>
      <c r="P2087" s="62">
        <f ca="1" t="shared" si="142"/>
        <v>119</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0" t="s">
        <v>176</v>
      </c>
      <c r="C2088" s="70">
        <v>45842</v>
      </c>
      <c r="D2088" s="120" t="str">
        <f>VLOOKUP(B2088,辅助信息!E:K,7,FALSE)</f>
        <v>JWDDCD2025062200016</v>
      </c>
      <c r="E2088" s="120" t="str">
        <f>VLOOKUP(F2088,辅助信息!A:B,2,FALSE)</f>
        <v>盘螺</v>
      </c>
      <c r="F2088" s="120" t="s">
        <v>40</v>
      </c>
      <c r="G2088" s="121">
        <v>5</v>
      </c>
      <c r="H2088" s="134" t="str">
        <f>_xlfn.XLOOKUP(C2088&amp;F2088&amp;I2088&amp;J2088,'[1]2025年已发货'!$F:$F&amp;'[1]2025年已发货'!$C:$C&amp;'[1]2025年已发货'!$G:$G&amp;'[1]2025年已发货'!$H:$H,'[1]2025年已发货'!$E:$E,"未发货")</f>
        <v>未发货</v>
      </c>
      <c r="I2088" s="120" t="str">
        <f>VLOOKUP(B2088,辅助信息!E:I,3,FALSE)</f>
        <v>(武汉电气化局成达万高铁强电项目-渠县)四川省达州市渠县渠北镇雷家湾渠县北站旁</v>
      </c>
      <c r="J2088" s="120" t="str">
        <f>VLOOKUP(B2088,辅助信息!E:I,4,FALSE)</f>
        <v>刘频</v>
      </c>
      <c r="K2088" s="120">
        <f>VLOOKUP(J2088,辅助信息!H:I,2,FALSE)</f>
        <v>18779627939</v>
      </c>
      <c r="L2088" s="122" t="str">
        <f>VLOOKUP(B2088,辅助信息!E:J,6,FALSE)</f>
        <v>锈货不收！！下雨天钢筋没盖篷布不收！！，装货前联系收货人核实到场规格,没提前告知进场规格现场不给予接收</v>
      </c>
      <c r="M2088" s="91">
        <v>45841</v>
      </c>
      <c r="O2088" s="62">
        <f ca="1" t="shared" si="141"/>
        <v>0</v>
      </c>
      <c r="P2088" s="62">
        <f ca="1" t="shared" si="142"/>
        <v>119</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0" t="s">
        <v>176</v>
      </c>
      <c r="C2089" s="70">
        <v>45842</v>
      </c>
      <c r="D2089" s="120" t="str">
        <f>VLOOKUP(B2089,辅助信息!E:K,7,FALSE)</f>
        <v>JWDDCD2025062200016</v>
      </c>
      <c r="E2089" s="120" t="str">
        <f>VLOOKUP(F2089,辅助信息!A:B,2,FALSE)</f>
        <v>螺纹钢</v>
      </c>
      <c r="F2089" s="120" t="s">
        <v>111</v>
      </c>
      <c r="G2089" s="121">
        <v>5</v>
      </c>
      <c r="H2089" s="134" t="str">
        <f>_xlfn.XLOOKUP(C2089&amp;F2089&amp;I2089&amp;J2089,'[1]2025年已发货'!$F:$F&amp;'[1]2025年已发货'!$C:$C&amp;'[1]2025年已发货'!$G:$G&amp;'[1]2025年已发货'!$H:$H,'[1]2025年已发货'!$E:$E,"未发货")</f>
        <v>未发货</v>
      </c>
      <c r="I2089" s="120" t="str">
        <f>VLOOKUP(B2089,辅助信息!E:I,3,FALSE)</f>
        <v>(武汉电气化局成达万高铁强电项目-渠县)四川省达州市渠县渠北镇雷家湾渠县北站旁</v>
      </c>
      <c r="J2089" s="120" t="str">
        <f>VLOOKUP(B2089,辅助信息!E:I,4,FALSE)</f>
        <v>刘频</v>
      </c>
      <c r="K2089" s="120">
        <f>VLOOKUP(J2089,辅助信息!H:I,2,FALSE)</f>
        <v>18779627939</v>
      </c>
      <c r="L2089" s="122" t="str">
        <f>VLOOKUP(B2089,辅助信息!E:J,6,FALSE)</f>
        <v>锈货不收！！下雨天钢筋没盖篷布不收！！，装货前联系收货人核实到场规格,没提前告知进场规格现场不给予接收</v>
      </c>
      <c r="M2089" s="91">
        <v>45841</v>
      </c>
      <c r="O2089" s="62">
        <f ca="1" t="shared" si="141"/>
        <v>0</v>
      </c>
      <c r="P2089" s="62">
        <f ca="1" t="shared" si="142"/>
        <v>119</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0" t="s">
        <v>176</v>
      </c>
      <c r="C2090" s="70">
        <v>45842</v>
      </c>
      <c r="D2090" s="120" t="str">
        <f>VLOOKUP(B2090,辅助信息!E:K,7,FALSE)</f>
        <v>JWDDCD2025062200016</v>
      </c>
      <c r="E2090" s="120" t="str">
        <f>VLOOKUP(F2090,辅助信息!A:B,2,FALSE)</f>
        <v>螺纹钢</v>
      </c>
      <c r="F2090" s="120" t="s">
        <v>76</v>
      </c>
      <c r="G2090" s="121">
        <v>20</v>
      </c>
      <c r="H2090" s="134" t="str">
        <f>_xlfn.XLOOKUP(C2090&amp;F2090&amp;I2090&amp;J2090,'[1]2025年已发货'!$F:$F&amp;'[1]2025年已发货'!$C:$C&amp;'[1]2025年已发货'!$G:$G&amp;'[1]2025年已发货'!$H:$H,'[1]2025年已发货'!$E:$E,"未发货")</f>
        <v>未发货</v>
      </c>
      <c r="I2090" s="120" t="str">
        <f>VLOOKUP(B2090,辅助信息!E:I,3,FALSE)</f>
        <v>(武汉电气化局成达万高铁强电项目-渠县)四川省达州市渠县渠北镇雷家湾渠县北站旁</v>
      </c>
      <c r="J2090" s="120" t="str">
        <f>VLOOKUP(B2090,辅助信息!E:I,4,FALSE)</f>
        <v>刘频</v>
      </c>
      <c r="K2090" s="120">
        <f>VLOOKUP(J2090,辅助信息!H:I,2,FALSE)</f>
        <v>18779627939</v>
      </c>
      <c r="L2090" s="122" t="str">
        <f>VLOOKUP(B2090,辅助信息!E:J,6,FALSE)</f>
        <v>锈货不收！！下雨天钢筋没盖篷布不收！！，装货前联系收货人核实到场规格,没提前告知进场规格现场不给予接收</v>
      </c>
      <c r="M2090" s="91">
        <v>45841</v>
      </c>
      <c r="O2090" s="62">
        <f ca="1" t="shared" si="141"/>
        <v>0</v>
      </c>
      <c r="P2090" s="62">
        <f ca="1" t="shared" si="142"/>
        <v>119</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0">
        <v>45842</v>
      </c>
      <c r="D2091" s="120" t="str">
        <f>VLOOKUP(B2091,辅助信息!E:K,7,FALSE)</f>
        <v>JWDDCD2025052800131</v>
      </c>
      <c r="E2091" s="120" t="str">
        <f>VLOOKUP(F2091,辅助信息!A:B,2,FALSE)</f>
        <v>螺纹钢</v>
      </c>
      <c r="F2091" s="40" t="s">
        <v>21</v>
      </c>
      <c r="G2091" s="36">
        <v>6</v>
      </c>
      <c r="H2091" s="134" t="str">
        <f>_xlfn.XLOOKUP(C2091&amp;F2091&amp;I2091&amp;J2091,'[1]2025年已发货'!$F:$F&amp;'[1]2025年已发货'!$C:$C&amp;'[1]2025年已发货'!$G:$G&amp;'[1]2025年已发货'!$H:$H,'[1]2025年已发货'!$E:$E,"未发货")</f>
        <v>未发货</v>
      </c>
      <c r="I2091" s="120" t="str">
        <f>VLOOKUP(B2091,辅助信息!E:I,3,FALSE)</f>
        <v>（商投建工达州中医药科技园-4工区-11号楼）达州市通川区达州中医药职业学院犀牛大道北段</v>
      </c>
      <c r="J2091" s="120" t="str">
        <f>VLOOKUP(B2091,辅助信息!E:I,4,FALSE)</f>
        <v>张扬</v>
      </c>
      <c r="K2091" s="120">
        <f>VLOOKUP(J2091,辅助信息!H:I,2,FALSE)</f>
        <v>18381904567</v>
      </c>
      <c r="L2091" s="122" t="str">
        <f>VLOOKUP(B2091,辅助信息!E:J,6,FALSE)</f>
        <v>控制炉批号！多了现场不收！,优先安排达钢,提前联系到场规格及数量</v>
      </c>
      <c r="M2091" s="91">
        <v>45842</v>
      </c>
      <c r="O2091" s="62">
        <f ca="1" t="shared" si="141"/>
        <v>0</v>
      </c>
      <c r="P2091" s="62">
        <f ca="1" t="shared" si="142"/>
        <v>118</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0">
        <v>45842</v>
      </c>
      <c r="D2092" s="120" t="str">
        <f>VLOOKUP(B2092,辅助信息!E:K,7,FALSE)</f>
        <v>JWDDCD2025052800131</v>
      </c>
      <c r="E2092" s="120" t="str">
        <f>VLOOKUP(F2092,辅助信息!A:B,2,FALSE)</f>
        <v>螺纹钢</v>
      </c>
      <c r="F2092" s="40" t="s">
        <v>58</v>
      </c>
      <c r="G2092" s="36">
        <v>6</v>
      </c>
      <c r="H2092" s="134" t="str">
        <f>_xlfn.XLOOKUP(C2092&amp;F2092&amp;I2092&amp;J2092,'[1]2025年已发货'!$F:$F&amp;'[1]2025年已发货'!$C:$C&amp;'[1]2025年已发货'!$G:$G&amp;'[1]2025年已发货'!$H:$H,'[1]2025年已发货'!$E:$E,"未发货")</f>
        <v>未发货</v>
      </c>
      <c r="I2092" s="120" t="str">
        <f>VLOOKUP(B2092,辅助信息!E:I,3,FALSE)</f>
        <v>（商投建工达州中医药科技园-4工区-11号楼）达州市通川区达州中医药职业学院犀牛大道北段</v>
      </c>
      <c r="J2092" s="120" t="str">
        <f>VLOOKUP(B2092,辅助信息!E:I,4,FALSE)</f>
        <v>张扬</v>
      </c>
      <c r="K2092" s="120">
        <f>VLOOKUP(J2092,辅助信息!H:I,2,FALSE)</f>
        <v>18381904567</v>
      </c>
      <c r="L2092" s="122" t="str">
        <f>VLOOKUP(B2092,辅助信息!E:J,6,FALSE)</f>
        <v>控制炉批号！多了现场不收！,优先安排达钢,提前联系到场规格及数量</v>
      </c>
      <c r="M2092" s="91">
        <v>45842</v>
      </c>
      <c r="O2092" s="62">
        <f ca="1" t="shared" si="141"/>
        <v>0</v>
      </c>
      <c r="P2092" s="62">
        <f ca="1" t="shared" si="142"/>
        <v>118</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0">
        <v>45842</v>
      </c>
      <c r="D2093" s="120" t="str">
        <f>VLOOKUP(B2093,辅助信息!E:K,7,FALSE)</f>
        <v>JWDDCD2025052800131</v>
      </c>
      <c r="E2093" s="120" t="str">
        <f>VLOOKUP(F2093,辅助信息!A:B,2,FALSE)</f>
        <v>螺纹钢</v>
      </c>
      <c r="F2093" s="40" t="s">
        <v>46</v>
      </c>
      <c r="G2093" s="36">
        <v>15</v>
      </c>
      <c r="H2093" s="134" t="str">
        <f>_xlfn.XLOOKUP(C2093&amp;F2093&amp;I2093&amp;J2093,'[1]2025年已发货'!$F:$F&amp;'[1]2025年已发货'!$C:$C&amp;'[1]2025年已发货'!$G:$G&amp;'[1]2025年已发货'!$H:$H,'[1]2025年已发货'!$E:$E,"未发货")</f>
        <v>未发货</v>
      </c>
      <c r="I2093" s="120" t="str">
        <f>VLOOKUP(B2093,辅助信息!E:I,3,FALSE)</f>
        <v>（商投建工达州中医药科技园-4工区-11号楼）达州市通川区达州中医药职业学院犀牛大道北段</v>
      </c>
      <c r="J2093" s="120" t="str">
        <f>VLOOKUP(B2093,辅助信息!E:I,4,FALSE)</f>
        <v>张扬</v>
      </c>
      <c r="K2093" s="120">
        <f>VLOOKUP(J2093,辅助信息!H:I,2,FALSE)</f>
        <v>18381904567</v>
      </c>
      <c r="L2093" s="122" t="str">
        <f>VLOOKUP(B2093,辅助信息!E:J,6,FALSE)</f>
        <v>控制炉批号！多了现场不收！,优先安排达钢,提前联系到场规格及数量</v>
      </c>
      <c r="M2093" s="91">
        <v>45842</v>
      </c>
      <c r="O2093" s="62">
        <f ca="1" t="shared" si="141"/>
        <v>0</v>
      </c>
      <c r="P2093" s="62">
        <f ca="1" t="shared" si="142"/>
        <v>118</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0">
        <v>45842</v>
      </c>
      <c r="D2094" s="120" t="str">
        <f>VLOOKUP(B2094,辅助信息!E:K,7,FALSE)</f>
        <v>JWDDCD2025052800131</v>
      </c>
      <c r="E2094" s="120" t="str">
        <f>VLOOKUP(F2094,辅助信息!A:B,2,FALSE)</f>
        <v>螺纹钢</v>
      </c>
      <c r="F2094" s="40" t="s">
        <v>22</v>
      </c>
      <c r="G2094" s="36">
        <v>9</v>
      </c>
      <c r="H2094" s="134" t="str">
        <f>_xlfn.XLOOKUP(C2094&amp;F2094&amp;I2094&amp;J2094,'[1]2025年已发货'!$F:$F&amp;'[1]2025年已发货'!$C:$C&amp;'[1]2025年已发货'!$G:$G&amp;'[1]2025年已发货'!$H:$H,'[1]2025年已发货'!$E:$E,"未发货")</f>
        <v>未发货</v>
      </c>
      <c r="I2094" s="120" t="str">
        <f>VLOOKUP(B2094,辅助信息!E:I,3,FALSE)</f>
        <v>（商投建工达州中医药科技园-4工区-11号楼）达州市通川区达州中医药职业学院犀牛大道北段</v>
      </c>
      <c r="J2094" s="120" t="str">
        <f>VLOOKUP(B2094,辅助信息!E:I,4,FALSE)</f>
        <v>张扬</v>
      </c>
      <c r="K2094" s="120">
        <f>VLOOKUP(J2094,辅助信息!H:I,2,FALSE)</f>
        <v>18381904567</v>
      </c>
      <c r="L2094" s="122" t="str">
        <f>VLOOKUP(B2094,辅助信息!E:J,6,FALSE)</f>
        <v>控制炉批号！多了现场不收！,优先安排达钢,提前联系到场规格及数量</v>
      </c>
      <c r="M2094" s="91">
        <v>45842</v>
      </c>
      <c r="O2094" s="62">
        <f ca="1" t="shared" si="141"/>
        <v>0</v>
      </c>
      <c r="P2094" s="62">
        <f ca="1" t="shared" si="142"/>
        <v>118</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0">
        <v>45842</v>
      </c>
      <c r="D2095" s="120" t="str">
        <f>VLOOKUP(B2095,辅助信息!E:K,7,FALSE)</f>
        <v>JWDDCD2025060900080</v>
      </c>
      <c r="E2095" s="120" t="str">
        <f>VLOOKUP(F2095,辅助信息!A:B,2,FALSE)</f>
        <v>盘螺</v>
      </c>
      <c r="F2095" s="40" t="s">
        <v>49</v>
      </c>
      <c r="G2095" s="36">
        <v>5</v>
      </c>
      <c r="H2095" s="134">
        <f>_xlfn.XLOOKUP(C2095&amp;F2095&amp;I2095&amp;J2095,'[1]2025年已发货'!$F:$F&amp;'[1]2025年已发货'!$C:$C&amp;'[1]2025年已发货'!$G:$G&amp;'[1]2025年已发货'!$H:$H,'[1]2025年已发货'!$E:$E,"未发货")</f>
        <v>5</v>
      </c>
      <c r="I2095" s="120" t="str">
        <f>VLOOKUP(B2095,辅助信息!E:I,3,FALSE)</f>
        <v>（华西简阳西城嘉苑）四川省成都市简阳市简城街道高屋村</v>
      </c>
      <c r="J2095" s="120" t="str">
        <f>VLOOKUP(B2095,辅助信息!E:I,4,FALSE)</f>
        <v>张瀚镭</v>
      </c>
      <c r="K2095" s="120">
        <f>VLOOKUP(J2095,辅助信息!H:I,2,FALSE)</f>
        <v>15884666220</v>
      </c>
      <c r="L2095" s="122" t="str">
        <f>VLOOKUP(B2095,辅助信息!E:J,6,FALSE)</f>
        <v>现场禁止使用氢能源挂车！优先威钢发货,我方卸车,新老国标钢厂不加价可直发，因陕钢多次出现磅差，项目拒绝使用</v>
      </c>
      <c r="M2095" s="91">
        <v>45845</v>
      </c>
      <c r="O2095" s="62">
        <f ca="1" t="shared" ref="O2095:O2120" si="143">IF(OR(M2095="",N2095&lt;&gt;""),"",MAX(M2095-TODAY(),0))</f>
        <v>0</v>
      </c>
      <c r="P2095" s="62">
        <f ca="1" t="shared" ref="P2095:P2120" si="144">IF(M2095="","",IF(N2095&lt;&gt;"",MAX(N2095-M2095,0),IF(TODAY()&gt;M2095,TODAY()-M2095,0)))</f>
        <v>115</v>
      </c>
      <c r="Q2095" s="29" t="str">
        <f>VLOOKUP(B2095,辅助信息!E:M,9,FALSE)</f>
        <v>ZTWM-CDGS-XS-2024-0030-华西集采-简州大道</v>
      </c>
      <c r="R2095" s="29" t="str">
        <f>_xlfn._xlws.FILTER(辅助信息!D:D,辅助信息!E:E=B2095)</f>
        <v>华西简阳西城嘉苑</v>
      </c>
    </row>
    <row r="2096" hidden="1" spans="2:18">
      <c r="B2096" s="40" t="s">
        <v>81</v>
      </c>
      <c r="C2096" s="70">
        <v>45842</v>
      </c>
      <c r="D2096" s="120" t="str">
        <f>VLOOKUP(B2096,辅助信息!E:K,7,FALSE)</f>
        <v>JWDDCD2025060900080</v>
      </c>
      <c r="E2096" s="120" t="str">
        <f>VLOOKUP(F2096,辅助信息!A:B,2,FALSE)</f>
        <v>盘螺</v>
      </c>
      <c r="F2096" s="40" t="s">
        <v>40</v>
      </c>
      <c r="G2096" s="36">
        <v>46</v>
      </c>
      <c r="H2096" s="134">
        <f>_xlfn.XLOOKUP(C2096&amp;F2096&amp;I2096&amp;J2096,'[1]2025年已发货'!$F:$F&amp;'[1]2025年已发货'!$C:$C&amp;'[1]2025年已发货'!$G:$G&amp;'[1]2025年已发货'!$H:$H,'[1]2025年已发货'!$E:$E,"未发货")</f>
        <v>30</v>
      </c>
      <c r="I2096" s="120" t="str">
        <f>VLOOKUP(B2096,辅助信息!E:I,3,FALSE)</f>
        <v>（华西简阳西城嘉苑）四川省成都市简阳市简城街道高屋村</v>
      </c>
      <c r="J2096" s="120" t="str">
        <f>VLOOKUP(B2096,辅助信息!E:I,4,FALSE)</f>
        <v>张瀚镭</v>
      </c>
      <c r="K2096" s="120">
        <f>VLOOKUP(J2096,辅助信息!H:I,2,FALSE)</f>
        <v>15884666220</v>
      </c>
      <c r="L2096" s="122" t="str">
        <f>VLOOKUP(B2096,辅助信息!E:J,6,FALSE)</f>
        <v>现场禁止使用氢能源挂车！优先威钢发货,我方卸车,新老国标钢厂不加价可直发，因陕钢多次出现磅差，项目拒绝使用</v>
      </c>
      <c r="M2096" s="91">
        <v>45845</v>
      </c>
      <c r="O2096" s="62">
        <f ca="1" t="shared" si="143"/>
        <v>0</v>
      </c>
      <c r="P2096" s="62">
        <f ca="1" t="shared" si="144"/>
        <v>115</v>
      </c>
      <c r="Q2096" s="29" t="str">
        <f>VLOOKUP(B2096,辅助信息!E:M,9,FALSE)</f>
        <v>ZTWM-CDGS-XS-2024-0030-华西集采-简州大道</v>
      </c>
      <c r="R2096" s="29" t="str">
        <f>_xlfn._xlws.FILTER(辅助信息!D:D,辅助信息!E:E=B2096)</f>
        <v>华西简阳西城嘉苑</v>
      </c>
    </row>
    <row r="2097" hidden="1" spans="2:18">
      <c r="B2097" s="40" t="s">
        <v>81</v>
      </c>
      <c r="C2097" s="70">
        <v>45842</v>
      </c>
      <c r="D2097" s="120" t="str">
        <f>VLOOKUP(B2097,辅助信息!E:K,7,FALSE)</f>
        <v>JWDDCD2025060900080</v>
      </c>
      <c r="E2097" s="120" t="str">
        <f>VLOOKUP(F2097,辅助信息!A:B,2,FALSE)</f>
        <v>盘螺</v>
      </c>
      <c r="F2097" s="40" t="s">
        <v>26</v>
      </c>
      <c r="G2097" s="36">
        <v>15</v>
      </c>
      <c r="H2097" s="134" t="str">
        <f>_xlfn.XLOOKUP(C2097&amp;F2097&amp;I2097&amp;J2097,'[1]2025年已发货'!$F:$F&amp;'[1]2025年已发货'!$C:$C&amp;'[1]2025年已发货'!$G:$G&amp;'[1]2025年已发货'!$H:$H,'[1]2025年已发货'!$E:$E,"未发货")</f>
        <v>未发货</v>
      </c>
      <c r="I2097" s="120" t="str">
        <f>VLOOKUP(B2097,辅助信息!E:I,3,FALSE)</f>
        <v>（华西简阳西城嘉苑）四川省成都市简阳市简城街道高屋村</v>
      </c>
      <c r="J2097" s="120" t="str">
        <f>VLOOKUP(B2097,辅助信息!E:I,4,FALSE)</f>
        <v>张瀚镭</v>
      </c>
      <c r="K2097" s="120">
        <f>VLOOKUP(J2097,辅助信息!H:I,2,FALSE)</f>
        <v>15884666220</v>
      </c>
      <c r="L2097" s="122" t="str">
        <f>VLOOKUP(B2097,辅助信息!E:J,6,FALSE)</f>
        <v>现场禁止使用氢能源挂车！优先威钢发货,我方卸车,新老国标钢厂不加价可直发，因陕钢多次出现磅差，项目拒绝使用</v>
      </c>
      <c r="M2097" s="91">
        <v>45845</v>
      </c>
      <c r="O2097" s="62">
        <f ca="1" t="shared" si="143"/>
        <v>0</v>
      </c>
      <c r="P2097" s="62">
        <f ca="1" t="shared" si="144"/>
        <v>115</v>
      </c>
      <c r="Q2097" s="29" t="str">
        <f>VLOOKUP(B2097,辅助信息!E:M,9,FALSE)</f>
        <v>ZTWM-CDGS-XS-2024-0030-华西集采-简州大道</v>
      </c>
      <c r="R2097" s="29" t="str">
        <f>_xlfn._xlws.FILTER(辅助信息!D:D,辅助信息!E:E=B2097)</f>
        <v>华西简阳西城嘉苑</v>
      </c>
    </row>
    <row r="2098" hidden="1" spans="2:18">
      <c r="B2098" s="40" t="s">
        <v>81</v>
      </c>
      <c r="C2098" s="70">
        <v>45842</v>
      </c>
      <c r="D2098" s="120" t="str">
        <f>VLOOKUP(B2098,辅助信息!E:K,7,FALSE)</f>
        <v>JWDDCD2025060900080</v>
      </c>
      <c r="E2098" s="120" t="str">
        <f>VLOOKUP(F2098,辅助信息!A:B,2,FALSE)</f>
        <v>螺纹钢</v>
      </c>
      <c r="F2098" s="40" t="s">
        <v>19</v>
      </c>
      <c r="G2098" s="36">
        <v>5.5</v>
      </c>
      <c r="H2098" s="134">
        <f>_xlfn.XLOOKUP(C2098&amp;F2098&amp;I2098&amp;J2098,'[1]2025年已发货'!$F:$F&amp;'[1]2025年已发货'!$C:$C&amp;'[1]2025年已发货'!$G:$G&amp;'[1]2025年已发货'!$H:$H,'[1]2025年已发货'!$E:$E,"未发货")</f>
        <v>5.5</v>
      </c>
      <c r="I2098" s="120" t="str">
        <f>VLOOKUP(B2098,辅助信息!E:I,3,FALSE)</f>
        <v>（华西简阳西城嘉苑）四川省成都市简阳市简城街道高屋村</v>
      </c>
      <c r="J2098" s="120" t="str">
        <f>VLOOKUP(B2098,辅助信息!E:I,4,FALSE)</f>
        <v>张瀚镭</v>
      </c>
      <c r="K2098" s="120">
        <f>VLOOKUP(J2098,辅助信息!H:I,2,FALSE)</f>
        <v>15884666220</v>
      </c>
      <c r="L2098" s="122" t="str">
        <f>VLOOKUP(B2098,辅助信息!E:J,6,FALSE)</f>
        <v>现场禁止使用氢能源挂车！优先威钢发货,我方卸车,新老国标钢厂不加价可直发，因陕钢多次出现磅差，项目拒绝使用</v>
      </c>
      <c r="M2098" s="91">
        <v>45845</v>
      </c>
      <c r="O2098" s="62">
        <f ca="1" t="shared" si="143"/>
        <v>0</v>
      </c>
      <c r="P2098" s="62">
        <f ca="1" t="shared" si="144"/>
        <v>115</v>
      </c>
      <c r="Q2098" s="29" t="str">
        <f>VLOOKUP(B2098,辅助信息!E:M,9,FALSE)</f>
        <v>ZTWM-CDGS-XS-2024-0030-华西集采-简州大道</v>
      </c>
      <c r="R2098" s="29" t="str">
        <f>_xlfn._xlws.FILTER(辅助信息!D:D,辅助信息!E:E=B2098)</f>
        <v>华西简阳西城嘉苑</v>
      </c>
    </row>
    <row r="2099" hidden="1" spans="2:18">
      <c r="B2099" s="40" t="s">
        <v>81</v>
      </c>
      <c r="C2099" s="70">
        <v>45842</v>
      </c>
      <c r="D2099" s="120" t="str">
        <f>VLOOKUP(B2099,辅助信息!E:K,7,FALSE)</f>
        <v>JWDDCD2025060900080</v>
      </c>
      <c r="E2099" s="120" t="str">
        <f>VLOOKUP(F2099,辅助信息!A:B,2,FALSE)</f>
        <v>螺纹钢</v>
      </c>
      <c r="F2099" s="40" t="s">
        <v>32</v>
      </c>
      <c r="G2099" s="36">
        <v>7</v>
      </c>
      <c r="H2099" s="134">
        <f>_xlfn.XLOOKUP(C2099&amp;F2099&amp;I2099&amp;J2099,'[1]2025年已发货'!$F:$F&amp;'[1]2025年已发货'!$C:$C&amp;'[1]2025年已发货'!$G:$G&amp;'[1]2025年已发货'!$H:$H,'[1]2025年已发货'!$E:$E,"未发货")</f>
        <v>7</v>
      </c>
      <c r="I2099" s="120" t="str">
        <f>VLOOKUP(B2099,辅助信息!E:I,3,FALSE)</f>
        <v>（华西简阳西城嘉苑）四川省成都市简阳市简城街道高屋村</v>
      </c>
      <c r="J2099" s="120" t="str">
        <f>VLOOKUP(B2099,辅助信息!E:I,4,FALSE)</f>
        <v>张瀚镭</v>
      </c>
      <c r="K2099" s="120">
        <f>VLOOKUP(J2099,辅助信息!H:I,2,FALSE)</f>
        <v>15884666220</v>
      </c>
      <c r="L2099" s="122" t="str">
        <f>VLOOKUP(B2099,辅助信息!E:J,6,FALSE)</f>
        <v>现场禁止使用氢能源挂车！优先威钢发货,我方卸车,新老国标钢厂不加价可直发，因陕钢多次出现磅差，项目拒绝使用</v>
      </c>
      <c r="M2099" s="91">
        <v>45845</v>
      </c>
      <c r="O2099" s="62">
        <f ca="1" t="shared" si="143"/>
        <v>0</v>
      </c>
      <c r="P2099" s="62">
        <f ca="1" t="shared" si="144"/>
        <v>115</v>
      </c>
      <c r="Q2099" s="29" t="str">
        <f>VLOOKUP(B2099,辅助信息!E:M,9,FALSE)</f>
        <v>ZTWM-CDGS-XS-2024-0030-华西集采-简州大道</v>
      </c>
      <c r="R2099" s="29" t="str">
        <f>_xlfn._xlws.FILTER(辅助信息!D:D,辅助信息!E:E=B2099)</f>
        <v>华西简阳西城嘉苑</v>
      </c>
    </row>
    <row r="2100" hidden="1" spans="2:18">
      <c r="B2100" s="40" t="s">
        <v>81</v>
      </c>
      <c r="C2100" s="70">
        <v>45842</v>
      </c>
      <c r="D2100" s="120" t="str">
        <f>VLOOKUP(B2100,辅助信息!E:K,7,FALSE)</f>
        <v>JWDDCD2025060900080</v>
      </c>
      <c r="E2100" s="120" t="str">
        <f>VLOOKUP(F2100,辅助信息!A:B,2,FALSE)</f>
        <v>螺纹钢</v>
      </c>
      <c r="F2100" s="40" t="s">
        <v>30</v>
      </c>
      <c r="G2100" s="36">
        <v>5.5</v>
      </c>
      <c r="H2100" s="134" t="str">
        <f>_xlfn.XLOOKUP(C2100&amp;F2100&amp;I2100&amp;J2100,'[1]2025年已发货'!$F:$F&amp;'[1]2025年已发货'!$C:$C&amp;'[1]2025年已发货'!$G:$G&amp;'[1]2025年已发货'!$H:$H,'[1]2025年已发货'!$E:$E,"未发货")</f>
        <v>未发货</v>
      </c>
      <c r="I2100" s="120" t="str">
        <f>VLOOKUP(B2100,辅助信息!E:I,3,FALSE)</f>
        <v>（华西简阳西城嘉苑）四川省成都市简阳市简城街道高屋村</v>
      </c>
      <c r="J2100" s="120" t="str">
        <f>VLOOKUP(B2100,辅助信息!E:I,4,FALSE)</f>
        <v>张瀚镭</v>
      </c>
      <c r="K2100" s="120">
        <f>VLOOKUP(J2100,辅助信息!H:I,2,FALSE)</f>
        <v>15884666220</v>
      </c>
      <c r="L2100" s="122" t="str">
        <f>VLOOKUP(B2100,辅助信息!E:J,6,FALSE)</f>
        <v>现场禁止使用氢能源挂车！优先威钢发货,我方卸车,新老国标钢厂不加价可直发，因陕钢多次出现磅差，项目拒绝使用</v>
      </c>
      <c r="M2100" s="91">
        <v>45845</v>
      </c>
      <c r="O2100" s="62">
        <f ca="1" t="shared" si="143"/>
        <v>0</v>
      </c>
      <c r="P2100" s="62">
        <f ca="1" t="shared" si="144"/>
        <v>115</v>
      </c>
      <c r="Q2100" s="29" t="str">
        <f>VLOOKUP(B2100,辅助信息!E:M,9,FALSE)</f>
        <v>ZTWM-CDGS-XS-2024-0030-华西集采-简州大道</v>
      </c>
      <c r="R2100" s="29" t="str">
        <f>_xlfn._xlws.FILTER(辅助信息!D:D,辅助信息!E:E=B2100)</f>
        <v>华西简阳西城嘉苑</v>
      </c>
    </row>
    <row r="2101" hidden="1" spans="2:18">
      <c r="B2101" s="40" t="s">
        <v>81</v>
      </c>
      <c r="C2101" s="70">
        <v>45842</v>
      </c>
      <c r="D2101" s="120" t="str">
        <f>VLOOKUP(B2101,辅助信息!E:K,7,FALSE)</f>
        <v>JWDDCD2025060900080</v>
      </c>
      <c r="E2101" s="120" t="str">
        <f>VLOOKUP(F2101,辅助信息!A:B,2,FALSE)</f>
        <v>螺纹钢</v>
      </c>
      <c r="F2101" s="40" t="s">
        <v>33</v>
      </c>
      <c r="G2101" s="36">
        <v>15</v>
      </c>
      <c r="H2101" s="134">
        <f>_xlfn.XLOOKUP(C2101&amp;F2101&amp;I2101&amp;J2101,'[1]2025年已发货'!$F:$F&amp;'[1]2025年已发货'!$C:$C&amp;'[1]2025年已发货'!$G:$G&amp;'[1]2025年已发货'!$H:$H,'[1]2025年已发货'!$E:$E,"未发货")</f>
        <v>15</v>
      </c>
      <c r="I2101" s="120" t="str">
        <f>VLOOKUP(B2101,辅助信息!E:I,3,FALSE)</f>
        <v>（华西简阳西城嘉苑）四川省成都市简阳市简城街道高屋村</v>
      </c>
      <c r="J2101" s="120" t="str">
        <f>VLOOKUP(B2101,辅助信息!E:I,4,FALSE)</f>
        <v>张瀚镭</v>
      </c>
      <c r="K2101" s="120">
        <f>VLOOKUP(J2101,辅助信息!H:I,2,FALSE)</f>
        <v>15884666220</v>
      </c>
      <c r="L2101" s="122" t="str">
        <f>VLOOKUP(B2101,辅助信息!E:J,6,FALSE)</f>
        <v>现场禁止使用氢能源挂车！优先威钢发货,我方卸车,新老国标钢厂不加价可直发，因陕钢多次出现磅差，项目拒绝使用</v>
      </c>
      <c r="M2101" s="91">
        <v>45845</v>
      </c>
      <c r="O2101" s="62">
        <f ca="1" t="shared" si="143"/>
        <v>0</v>
      </c>
      <c r="P2101" s="62">
        <f ca="1" t="shared" si="144"/>
        <v>115</v>
      </c>
      <c r="Q2101" s="29" t="str">
        <f>VLOOKUP(B2101,辅助信息!E:M,9,FALSE)</f>
        <v>ZTWM-CDGS-XS-2024-0030-华西集采-简州大道</v>
      </c>
      <c r="R2101" s="29" t="str">
        <f>_xlfn._xlws.FILTER(辅助信息!D:D,辅助信息!E:E=B2101)</f>
        <v>华西简阳西城嘉苑</v>
      </c>
    </row>
    <row r="2102" hidden="1" spans="2:18">
      <c r="B2102" s="40" t="s">
        <v>81</v>
      </c>
      <c r="C2102" s="70">
        <v>45842</v>
      </c>
      <c r="D2102" s="120" t="str">
        <f>VLOOKUP(B2102,辅助信息!E:K,7,FALSE)</f>
        <v>JWDDCD2025060900080</v>
      </c>
      <c r="E2102" s="120" t="str">
        <f>VLOOKUP(F2102,辅助信息!A:B,2,FALSE)</f>
        <v>螺纹钢</v>
      </c>
      <c r="F2102" s="40" t="s">
        <v>18</v>
      </c>
      <c r="G2102" s="36">
        <v>7.5</v>
      </c>
      <c r="H2102" s="134">
        <f>_xlfn.XLOOKUP(C2102&amp;F2102&amp;I2102&amp;J2102,'[1]2025年已发货'!$F:$F&amp;'[1]2025年已发货'!$C:$C&amp;'[1]2025年已发货'!$G:$G&amp;'[1]2025年已发货'!$H:$H,'[1]2025年已发货'!$E:$E,"未发货")</f>
        <v>7.5</v>
      </c>
      <c r="I2102" s="120" t="str">
        <f>VLOOKUP(B2102,辅助信息!E:I,3,FALSE)</f>
        <v>（华西简阳西城嘉苑）四川省成都市简阳市简城街道高屋村</v>
      </c>
      <c r="J2102" s="120" t="str">
        <f>VLOOKUP(B2102,辅助信息!E:I,4,FALSE)</f>
        <v>张瀚镭</v>
      </c>
      <c r="K2102" s="120">
        <f>VLOOKUP(J2102,辅助信息!H:I,2,FALSE)</f>
        <v>15884666220</v>
      </c>
      <c r="L2102" s="122" t="str">
        <f>VLOOKUP(B2102,辅助信息!E:J,6,FALSE)</f>
        <v>现场禁止使用氢能源挂车！优先威钢发货,我方卸车,新老国标钢厂不加价可直发，因陕钢多次出现磅差，项目拒绝使用</v>
      </c>
      <c r="M2102" s="91">
        <v>45845</v>
      </c>
      <c r="O2102" s="62">
        <f ca="1" t="shared" si="143"/>
        <v>0</v>
      </c>
      <c r="P2102" s="62">
        <f ca="1" t="shared" si="144"/>
        <v>115</v>
      </c>
      <c r="Q2102" s="29" t="str">
        <f>VLOOKUP(B2102,辅助信息!E:M,9,FALSE)</f>
        <v>ZTWM-CDGS-XS-2024-0030-华西集采-简州大道</v>
      </c>
      <c r="R2102" s="29" t="str">
        <f>_xlfn._xlws.FILTER(辅助信息!D:D,辅助信息!E:E=B2102)</f>
        <v>华西简阳西城嘉苑</v>
      </c>
    </row>
    <row r="2103" hidden="1" spans="2:18">
      <c r="B2103" s="40" t="s">
        <v>187</v>
      </c>
      <c r="C2103" s="70">
        <v>45842</v>
      </c>
      <c r="D2103" s="120" t="str">
        <f>VLOOKUP(B2103,辅助信息!E:K,7,FALSE)</f>
        <v>JWDDCD2025072900121</v>
      </c>
      <c r="E2103" s="120" t="str">
        <f>VLOOKUP(F2103,辅助信息!A:B,2,FALSE)</f>
        <v>盘螺</v>
      </c>
      <c r="F2103" s="40" t="s">
        <v>40</v>
      </c>
      <c r="G2103" s="36">
        <v>3</v>
      </c>
      <c r="H2103" s="134" t="str">
        <f>_xlfn.XLOOKUP(C2103&amp;F2103&amp;I2103&amp;J2103,'[1]2025年已发货'!$F:$F&amp;'[1]2025年已发货'!$C:$C&amp;'[1]2025年已发货'!$G:$G&amp;'[1]2025年已发货'!$H:$H,'[1]2025年已发货'!$E:$E,"未发货")</f>
        <v>未发货</v>
      </c>
      <c r="I2103" s="120" t="str">
        <f>VLOOKUP(B2103,辅助信息!E:I,3,FALSE)</f>
        <v>(乐山市校地共建产教融合基地建设项目一标段)四川省乐山市市中区苏稽镇周山嘴</v>
      </c>
      <c r="J2103" s="120" t="str">
        <f>VLOOKUP(B2103,辅助信息!E:I,4,FALSE)</f>
        <v>范增云</v>
      </c>
      <c r="K2103" s="120">
        <f>VLOOKUP(J2103,辅助信息!H:I,2,FALSE)</f>
        <v>13668153241</v>
      </c>
      <c r="L2103" s="122" t="str">
        <f>VLOOKUP(B2103,辅助信息!E:J,6,FALSE)</f>
        <v>联系实际收货人（范增云13668153241）现场要求炉批号控制2个以下，超2个不给予签收。提前联系到场规格及数量</v>
      </c>
      <c r="M2103" s="91">
        <v>45843</v>
      </c>
      <c r="O2103" s="62">
        <f ca="1" t="shared" si="143"/>
        <v>0</v>
      </c>
      <c r="P2103" s="62">
        <f ca="1" t="shared" si="144"/>
        <v>117</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0">
        <v>45842</v>
      </c>
      <c r="D2104" s="120" t="str">
        <f>VLOOKUP(B2104,辅助信息!E:K,7,FALSE)</f>
        <v>JWDDCD2025072900121</v>
      </c>
      <c r="E2104" s="120" t="str">
        <f>VLOOKUP(F2104,辅助信息!A:B,2,FALSE)</f>
        <v>螺纹钢</v>
      </c>
      <c r="F2104" s="40" t="s">
        <v>32</v>
      </c>
      <c r="G2104" s="36">
        <v>5</v>
      </c>
      <c r="H2104" s="134" t="str">
        <f>_xlfn.XLOOKUP(C2104&amp;F2104&amp;I2104&amp;J2104,'[1]2025年已发货'!$F:$F&amp;'[1]2025年已发货'!$C:$C&amp;'[1]2025年已发货'!$G:$G&amp;'[1]2025年已发货'!$H:$H,'[1]2025年已发货'!$E:$E,"未发货")</f>
        <v>未发货</v>
      </c>
      <c r="I2104" s="120" t="str">
        <f>VLOOKUP(B2104,辅助信息!E:I,3,FALSE)</f>
        <v>(乐山市校地共建产教融合基地建设项目一标段)四川省乐山市市中区苏稽镇周山嘴</v>
      </c>
      <c r="J2104" s="120" t="str">
        <f>VLOOKUP(B2104,辅助信息!E:I,4,FALSE)</f>
        <v>范增云</v>
      </c>
      <c r="K2104" s="120">
        <f>VLOOKUP(J2104,辅助信息!H:I,2,FALSE)</f>
        <v>13668153241</v>
      </c>
      <c r="L2104" s="122" t="str">
        <f>VLOOKUP(B2104,辅助信息!E:J,6,FALSE)</f>
        <v>联系实际收货人（范增云13668153241）现场要求炉批号控制2个以下，超2个不给予签收。提前联系到场规格及数量</v>
      </c>
      <c r="M2104" s="91">
        <v>45843</v>
      </c>
      <c r="O2104" s="62">
        <f ca="1" t="shared" si="143"/>
        <v>0</v>
      </c>
      <c r="P2104" s="62">
        <f ca="1" t="shared" si="144"/>
        <v>117</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0">
        <v>45842</v>
      </c>
      <c r="D2105" s="120" t="str">
        <f>VLOOKUP(B2105,辅助信息!E:K,7,FALSE)</f>
        <v>JWDDCD2025072900121</v>
      </c>
      <c r="E2105" s="120" t="str">
        <f>VLOOKUP(F2105,辅助信息!A:B,2,FALSE)</f>
        <v>螺纹钢</v>
      </c>
      <c r="F2105" s="40" t="s">
        <v>30</v>
      </c>
      <c r="G2105" s="36">
        <v>3</v>
      </c>
      <c r="H2105" s="134" t="str">
        <f>_xlfn.XLOOKUP(C2105&amp;F2105&amp;I2105&amp;J2105,'[1]2025年已发货'!$F:$F&amp;'[1]2025年已发货'!$C:$C&amp;'[1]2025年已发货'!$G:$G&amp;'[1]2025年已发货'!$H:$H,'[1]2025年已发货'!$E:$E,"未发货")</f>
        <v>未发货</v>
      </c>
      <c r="I2105" s="120" t="str">
        <f>VLOOKUP(B2105,辅助信息!E:I,3,FALSE)</f>
        <v>(乐山市校地共建产教融合基地建设项目一标段)四川省乐山市市中区苏稽镇周山嘴</v>
      </c>
      <c r="J2105" s="120" t="str">
        <f>VLOOKUP(B2105,辅助信息!E:I,4,FALSE)</f>
        <v>范增云</v>
      </c>
      <c r="K2105" s="120">
        <f>VLOOKUP(J2105,辅助信息!H:I,2,FALSE)</f>
        <v>13668153241</v>
      </c>
      <c r="L2105" s="122" t="str">
        <f>VLOOKUP(B2105,辅助信息!E:J,6,FALSE)</f>
        <v>联系实际收货人（范增云13668153241）现场要求炉批号控制2个以下，超2个不给予签收。提前联系到场规格及数量</v>
      </c>
      <c r="M2105" s="91">
        <v>45843</v>
      </c>
      <c r="O2105" s="62">
        <f ca="1" t="shared" si="143"/>
        <v>0</v>
      </c>
      <c r="P2105" s="62">
        <f ca="1" t="shared" si="144"/>
        <v>117</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0">
        <v>45842</v>
      </c>
      <c r="D2106" s="120" t="str">
        <f>VLOOKUP(B2106,辅助信息!E:K,7,FALSE)</f>
        <v>JWDDCD2025072900121</v>
      </c>
      <c r="E2106" s="120" t="str">
        <f>VLOOKUP(F2106,辅助信息!A:B,2,FALSE)</f>
        <v>螺纹钢</v>
      </c>
      <c r="F2106" s="40" t="s">
        <v>33</v>
      </c>
      <c r="G2106" s="36">
        <v>3</v>
      </c>
      <c r="H2106" s="134" t="str">
        <f>_xlfn.XLOOKUP(C2106&amp;F2106&amp;I2106&amp;J2106,'[1]2025年已发货'!$F:$F&amp;'[1]2025年已发货'!$C:$C&amp;'[1]2025年已发货'!$G:$G&amp;'[1]2025年已发货'!$H:$H,'[1]2025年已发货'!$E:$E,"未发货")</f>
        <v>未发货</v>
      </c>
      <c r="I2106" s="120" t="str">
        <f>VLOOKUP(B2106,辅助信息!E:I,3,FALSE)</f>
        <v>(乐山市校地共建产教融合基地建设项目一标段)四川省乐山市市中区苏稽镇周山嘴</v>
      </c>
      <c r="J2106" s="120" t="str">
        <f>VLOOKUP(B2106,辅助信息!E:I,4,FALSE)</f>
        <v>范增云</v>
      </c>
      <c r="K2106" s="120">
        <f>VLOOKUP(J2106,辅助信息!H:I,2,FALSE)</f>
        <v>13668153241</v>
      </c>
      <c r="L2106" s="122" t="str">
        <f>VLOOKUP(B2106,辅助信息!E:J,6,FALSE)</f>
        <v>联系实际收货人（范增云13668153241）现场要求炉批号控制2个以下，超2个不给予签收。提前联系到场规格及数量</v>
      </c>
      <c r="M2106" s="91">
        <v>45843</v>
      </c>
      <c r="O2106" s="62">
        <f ca="1" t="shared" si="143"/>
        <v>0</v>
      </c>
      <c r="P2106" s="62">
        <f ca="1" t="shared" si="144"/>
        <v>117</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0">
        <v>45842</v>
      </c>
      <c r="D2107" s="120" t="str">
        <f>VLOOKUP(B2107,辅助信息!E:K,7,FALSE)</f>
        <v>JWDDCD2025072900121</v>
      </c>
      <c r="E2107" s="120" t="str">
        <f>VLOOKUP(F2107,辅助信息!A:B,2,FALSE)</f>
        <v>螺纹钢</v>
      </c>
      <c r="F2107" s="40" t="s">
        <v>28</v>
      </c>
      <c r="G2107" s="36">
        <v>3</v>
      </c>
      <c r="H2107" s="134" t="str">
        <f>_xlfn.XLOOKUP(C2107&amp;F2107&amp;I2107&amp;J2107,'[1]2025年已发货'!$F:$F&amp;'[1]2025年已发货'!$C:$C&amp;'[1]2025年已发货'!$G:$G&amp;'[1]2025年已发货'!$H:$H,'[1]2025年已发货'!$E:$E,"未发货")</f>
        <v>未发货</v>
      </c>
      <c r="I2107" s="120" t="str">
        <f>VLOOKUP(B2107,辅助信息!E:I,3,FALSE)</f>
        <v>(乐山市校地共建产教融合基地建设项目一标段)四川省乐山市市中区苏稽镇周山嘴</v>
      </c>
      <c r="J2107" s="120" t="str">
        <f>VLOOKUP(B2107,辅助信息!E:I,4,FALSE)</f>
        <v>范增云</v>
      </c>
      <c r="K2107" s="120">
        <f>VLOOKUP(J2107,辅助信息!H:I,2,FALSE)</f>
        <v>13668153241</v>
      </c>
      <c r="L2107" s="122" t="str">
        <f>VLOOKUP(B2107,辅助信息!E:J,6,FALSE)</f>
        <v>联系实际收货人（范增云13668153241）现场要求炉批号控制2个以下，超2个不给予签收。提前联系到场规格及数量</v>
      </c>
      <c r="M2107" s="91">
        <v>45843</v>
      </c>
      <c r="O2107" s="62">
        <f ca="1" t="shared" si="143"/>
        <v>0</v>
      </c>
      <c r="P2107" s="62">
        <f ca="1" t="shared" si="144"/>
        <v>117</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0">
        <v>45842</v>
      </c>
      <c r="D2108" s="120" t="str">
        <f>VLOOKUP(B2108,辅助信息!E:K,7,FALSE)</f>
        <v>JWDDCD2025072900121</v>
      </c>
      <c r="E2108" s="120" t="str">
        <f>VLOOKUP(F2108,辅助信息!A:B,2,FALSE)</f>
        <v>螺纹钢</v>
      </c>
      <c r="F2108" s="40" t="s">
        <v>18</v>
      </c>
      <c r="G2108" s="36">
        <v>18</v>
      </c>
      <c r="H2108" s="134" t="str">
        <f>_xlfn.XLOOKUP(C2108&amp;F2108&amp;I2108&amp;J2108,'[1]2025年已发货'!$F:$F&amp;'[1]2025年已发货'!$C:$C&amp;'[1]2025年已发货'!$G:$G&amp;'[1]2025年已发货'!$H:$H,'[1]2025年已发货'!$E:$E,"未发货")</f>
        <v>未发货</v>
      </c>
      <c r="I2108" s="120" t="str">
        <f>VLOOKUP(B2108,辅助信息!E:I,3,FALSE)</f>
        <v>(乐山市校地共建产教融合基地建设项目一标段)四川省乐山市市中区苏稽镇周山嘴</v>
      </c>
      <c r="J2108" s="120" t="str">
        <f>VLOOKUP(B2108,辅助信息!E:I,4,FALSE)</f>
        <v>范增云</v>
      </c>
      <c r="K2108" s="120">
        <f>VLOOKUP(J2108,辅助信息!H:I,2,FALSE)</f>
        <v>13668153241</v>
      </c>
      <c r="L2108" s="122" t="str">
        <f>VLOOKUP(B2108,辅助信息!E:J,6,FALSE)</f>
        <v>联系实际收货人（范增云13668153241）现场要求炉批号控制2个以下，超2个不给予签收。提前联系到场规格及数量</v>
      </c>
      <c r="M2108" s="91">
        <v>45843</v>
      </c>
      <c r="O2108" s="62">
        <f ca="1" t="shared" si="143"/>
        <v>0</v>
      </c>
      <c r="P2108" s="62">
        <f ca="1" t="shared" si="144"/>
        <v>117</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0" t="s">
        <v>176</v>
      </c>
      <c r="C2109" s="70">
        <v>45845</v>
      </c>
      <c r="D2109" s="120" t="str">
        <f>VLOOKUP(B2109,辅助信息!E:K,7,FALSE)</f>
        <v>JWDDCD2025062200016</v>
      </c>
      <c r="E2109" s="120" t="str">
        <f>VLOOKUP(F2109,辅助信息!A:B,2,FALSE)</f>
        <v>高线</v>
      </c>
      <c r="F2109" s="120" t="s">
        <v>57</v>
      </c>
      <c r="G2109" s="121">
        <v>5</v>
      </c>
      <c r="H2109" s="134" t="str">
        <f>_xlfn.XLOOKUP(C2109&amp;F2109&amp;I2109&amp;J2109,'[1]2025年已发货'!$F:$F&amp;'[1]2025年已发货'!$C:$C&amp;'[1]2025年已发货'!$G:$G&amp;'[1]2025年已发货'!$H:$H,'[1]2025年已发货'!$E:$E,"未发货")</f>
        <v>未发货</v>
      </c>
      <c r="I2109" s="120" t="str">
        <f>VLOOKUP(B2109,辅助信息!E:I,3,FALSE)</f>
        <v>(武汉电气化局成达万高铁强电项目-渠县)四川省达州市渠县渠北镇雷家湾渠县北站旁</v>
      </c>
      <c r="J2109" s="120" t="str">
        <f>VLOOKUP(B2109,辅助信息!E:I,4,FALSE)</f>
        <v>刘频</v>
      </c>
      <c r="K2109" s="120">
        <f>VLOOKUP(J2109,辅助信息!H:I,2,FALSE)</f>
        <v>18779627939</v>
      </c>
      <c r="L2109" s="122" t="str">
        <f>VLOOKUP(B2109,辅助信息!E:J,6,FALSE)</f>
        <v>锈货不收！！下雨天钢筋没盖篷布不收！！，装货前联系收货人核实到场规格,没提前告知进场规格现场不给予接收</v>
      </c>
      <c r="M2109" s="91">
        <v>45845</v>
      </c>
      <c r="O2109" s="62">
        <f ca="1" t="shared" si="143"/>
        <v>0</v>
      </c>
      <c r="P2109" s="62">
        <f ca="1" t="shared" si="144"/>
        <v>115</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0" t="s">
        <v>176</v>
      </c>
      <c r="C2110" s="70">
        <v>45845</v>
      </c>
      <c r="D2110" s="120" t="str">
        <f>VLOOKUP(B2110,辅助信息!E:K,7,FALSE)</f>
        <v>JWDDCD2025062200016</v>
      </c>
      <c r="E2110" s="120" t="str">
        <f>VLOOKUP(F2110,辅助信息!A:B,2,FALSE)</f>
        <v>盘螺</v>
      </c>
      <c r="F2110" s="120" t="s">
        <v>40</v>
      </c>
      <c r="G2110" s="121">
        <v>35</v>
      </c>
      <c r="H2110" s="134">
        <f>_xlfn.XLOOKUP(C2110&amp;F2110&amp;I2110&amp;J2110,'[1]2025年已发货'!$F:$F&amp;'[1]2025年已发货'!$C:$C&amp;'[1]2025年已发货'!$G:$G&amp;'[1]2025年已发货'!$H:$H,'[1]2025年已发货'!$E:$E,"未发货")</f>
        <v>36</v>
      </c>
      <c r="I2110" s="120" t="str">
        <f>VLOOKUP(B2110,辅助信息!E:I,3,FALSE)</f>
        <v>(武汉电气化局成达万高铁强电项目-渠县)四川省达州市渠县渠北镇雷家湾渠县北站旁</v>
      </c>
      <c r="J2110" s="120" t="str">
        <f>VLOOKUP(B2110,辅助信息!E:I,4,FALSE)</f>
        <v>刘频</v>
      </c>
      <c r="K2110" s="120">
        <f>VLOOKUP(J2110,辅助信息!H:I,2,FALSE)</f>
        <v>18779627939</v>
      </c>
      <c r="L2110" s="122" t="str">
        <f>VLOOKUP(B2110,辅助信息!E:J,6,FALSE)</f>
        <v>锈货不收！！下雨天钢筋没盖篷布不收！！，装货前联系收货人核实到场规格,没提前告知进场规格现场不给予接收</v>
      </c>
      <c r="M2110" s="91">
        <v>45845</v>
      </c>
      <c r="O2110" s="62">
        <f ca="1" t="shared" si="143"/>
        <v>0</v>
      </c>
      <c r="P2110" s="62">
        <f ca="1" t="shared" si="144"/>
        <v>115</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0" t="s">
        <v>176</v>
      </c>
      <c r="C2111" s="70">
        <v>45845</v>
      </c>
      <c r="D2111" s="120" t="str">
        <f>VLOOKUP(B2111,辅助信息!E:K,7,FALSE)</f>
        <v>JWDDCD2025062200016</v>
      </c>
      <c r="E2111" s="120" t="str">
        <f>VLOOKUP(F2111,辅助信息!A:B,2,FALSE)</f>
        <v>盘螺</v>
      </c>
      <c r="F2111" s="120" t="s">
        <v>41</v>
      </c>
      <c r="G2111" s="121">
        <v>30</v>
      </c>
      <c r="H2111" s="134">
        <f>_xlfn.XLOOKUP(C2111&amp;F2111&amp;I2111&amp;J2111,'[1]2025年已发货'!$F:$F&amp;'[1]2025年已发货'!$C:$C&amp;'[1]2025年已发货'!$G:$G&amp;'[1]2025年已发货'!$H:$H,'[1]2025年已发货'!$E:$E,"未发货")</f>
        <v>30</v>
      </c>
      <c r="I2111" s="120" t="str">
        <f>VLOOKUP(B2111,辅助信息!E:I,3,FALSE)</f>
        <v>(武汉电气化局成达万高铁强电项目-渠县)四川省达州市渠县渠北镇雷家湾渠县北站旁</v>
      </c>
      <c r="J2111" s="120" t="str">
        <f>VLOOKUP(B2111,辅助信息!E:I,4,FALSE)</f>
        <v>刘频</v>
      </c>
      <c r="K2111" s="120">
        <f>VLOOKUP(J2111,辅助信息!H:I,2,FALSE)</f>
        <v>18779627939</v>
      </c>
      <c r="L2111" s="122" t="str">
        <f>VLOOKUP(B2111,辅助信息!E:J,6,FALSE)</f>
        <v>锈货不收！！下雨天钢筋没盖篷布不收！！，装货前联系收货人核实到场规格,没提前告知进场规格现场不给予接收</v>
      </c>
      <c r="M2111" s="91">
        <v>45845</v>
      </c>
      <c r="O2111" s="62">
        <f ca="1" t="shared" si="143"/>
        <v>0</v>
      </c>
      <c r="P2111" s="62">
        <f ca="1" t="shared" si="144"/>
        <v>115</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0" t="s">
        <v>176</v>
      </c>
      <c r="C2112" s="70">
        <v>45845</v>
      </c>
      <c r="D2112" s="120" t="str">
        <f>VLOOKUP(B2112,辅助信息!E:K,7,FALSE)</f>
        <v>JWDDCD2025062200016</v>
      </c>
      <c r="E2112" s="120" t="str">
        <f>VLOOKUP(F2112,辅助信息!A:B,2,FALSE)</f>
        <v>螺纹钢</v>
      </c>
      <c r="F2112" s="120" t="s">
        <v>27</v>
      </c>
      <c r="G2112" s="121">
        <v>47</v>
      </c>
      <c r="H2112" s="134">
        <f>_xlfn.XLOOKUP(C2112&amp;F2112&amp;I2112&amp;J2112,'[1]2025年已发货'!$F:$F&amp;'[1]2025年已发货'!$C:$C&amp;'[1]2025年已发货'!$G:$G&amp;'[1]2025年已发货'!$H:$H,'[1]2025年已发货'!$E:$E,"未发货")</f>
        <v>24</v>
      </c>
      <c r="I2112" s="120" t="str">
        <f>VLOOKUP(B2112,辅助信息!E:I,3,FALSE)</f>
        <v>(武汉电气化局成达万高铁强电项目-渠县)四川省达州市渠县渠北镇雷家湾渠县北站旁</v>
      </c>
      <c r="J2112" s="120" t="str">
        <f>VLOOKUP(B2112,辅助信息!E:I,4,FALSE)</f>
        <v>刘频</v>
      </c>
      <c r="K2112" s="120">
        <f>VLOOKUP(J2112,辅助信息!H:I,2,FALSE)</f>
        <v>18779627939</v>
      </c>
      <c r="L2112" s="122" t="str">
        <f>VLOOKUP(B2112,辅助信息!E:J,6,FALSE)</f>
        <v>锈货不收！！下雨天钢筋没盖篷布不收！！，装货前联系收货人核实到场规格,没提前告知进场规格现场不给予接收</v>
      </c>
      <c r="M2112" s="91">
        <v>45845</v>
      </c>
      <c r="O2112" s="62">
        <f ca="1" t="shared" si="143"/>
        <v>0</v>
      </c>
      <c r="P2112" s="62">
        <f ca="1" t="shared" si="144"/>
        <v>115</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0" t="s">
        <v>176</v>
      </c>
      <c r="C2113" s="70">
        <v>45845</v>
      </c>
      <c r="D2113" s="120" t="str">
        <f>VLOOKUP(B2113,辅助信息!E:K,7,FALSE)</f>
        <v>JWDDCD2025062200016</v>
      </c>
      <c r="E2113" s="120" t="str">
        <f>VLOOKUP(F2113,辅助信息!A:B,2,FALSE)</f>
        <v>螺纹钢</v>
      </c>
      <c r="F2113" s="120" t="s">
        <v>19</v>
      </c>
      <c r="G2113" s="121">
        <v>25</v>
      </c>
      <c r="H2113" s="134">
        <f>_xlfn.XLOOKUP(C2113&amp;F2113&amp;I2113&amp;J2113,'[1]2025年已发货'!$F:$F&amp;'[1]2025年已发货'!$C:$C&amp;'[1]2025年已发货'!$G:$G&amp;'[1]2025年已发货'!$H:$H,'[1]2025年已发货'!$E:$E,"未发货")</f>
        <v>24</v>
      </c>
      <c r="I2113" s="120" t="str">
        <f>VLOOKUP(B2113,辅助信息!E:I,3,FALSE)</f>
        <v>(武汉电气化局成达万高铁强电项目-渠县)四川省达州市渠县渠北镇雷家湾渠县北站旁</v>
      </c>
      <c r="J2113" s="120" t="str">
        <f>VLOOKUP(B2113,辅助信息!E:I,4,FALSE)</f>
        <v>刘频</v>
      </c>
      <c r="K2113" s="120">
        <f>VLOOKUP(J2113,辅助信息!H:I,2,FALSE)</f>
        <v>18779627939</v>
      </c>
      <c r="L2113" s="122" t="str">
        <f>VLOOKUP(B2113,辅助信息!E:J,6,FALSE)</f>
        <v>锈货不收！！下雨天钢筋没盖篷布不收！！，装货前联系收货人核实到场规格,没提前告知进场规格现场不给予接收</v>
      </c>
      <c r="M2113" s="91">
        <v>45845</v>
      </c>
      <c r="O2113" s="62">
        <f ca="1" t="shared" si="143"/>
        <v>0</v>
      </c>
      <c r="P2113" s="62">
        <f ca="1" t="shared" si="144"/>
        <v>115</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0" t="s">
        <v>176</v>
      </c>
      <c r="C2114" s="70">
        <v>45845</v>
      </c>
      <c r="D2114" s="120" t="str">
        <f>VLOOKUP(B2114,辅助信息!E:K,7,FALSE)</f>
        <v>JWDDCD2025062200016</v>
      </c>
      <c r="E2114" s="120" t="str">
        <f>VLOOKUP(F2114,辅助信息!A:B,2,FALSE)</f>
        <v>螺纹钢</v>
      </c>
      <c r="F2114" s="120" t="s">
        <v>32</v>
      </c>
      <c r="G2114" s="121">
        <v>6</v>
      </c>
      <c r="H2114" s="134">
        <f>_xlfn.XLOOKUP(C2114&amp;F2114&amp;I2114&amp;J2114,'[1]2025年已发货'!$F:$F&amp;'[1]2025年已发货'!$C:$C&amp;'[1]2025年已发货'!$G:$G&amp;'[1]2025年已发货'!$H:$H,'[1]2025年已发货'!$E:$E,"未发货")</f>
        <v>6</v>
      </c>
      <c r="I2114" s="120" t="str">
        <f>VLOOKUP(B2114,辅助信息!E:I,3,FALSE)</f>
        <v>(武汉电气化局成达万高铁强电项目-渠县)四川省达州市渠县渠北镇雷家湾渠县北站旁</v>
      </c>
      <c r="J2114" s="120" t="str">
        <f>VLOOKUP(B2114,辅助信息!E:I,4,FALSE)</f>
        <v>刘频</v>
      </c>
      <c r="K2114" s="120">
        <f>VLOOKUP(J2114,辅助信息!H:I,2,FALSE)</f>
        <v>18779627939</v>
      </c>
      <c r="L2114" s="122" t="str">
        <f>VLOOKUP(B2114,辅助信息!E:J,6,FALSE)</f>
        <v>锈货不收！！下雨天钢筋没盖篷布不收！！，装货前联系收货人核实到场规格,没提前告知进场规格现场不给予接收</v>
      </c>
      <c r="M2114" s="91">
        <v>45845</v>
      </c>
      <c r="O2114" s="62">
        <f ca="1" t="shared" si="143"/>
        <v>0</v>
      </c>
      <c r="P2114" s="62">
        <f ca="1" t="shared" si="144"/>
        <v>115</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0" t="s">
        <v>176</v>
      </c>
      <c r="C2115" s="70">
        <v>45845</v>
      </c>
      <c r="D2115" s="120" t="str">
        <f>VLOOKUP(B2115,辅助信息!E:K,7,FALSE)</f>
        <v>JWDDCD2025062200016</v>
      </c>
      <c r="E2115" s="120" t="str">
        <f>VLOOKUP(F2115,辅助信息!A:B,2,FALSE)</f>
        <v>螺纹钢</v>
      </c>
      <c r="F2115" s="120" t="s">
        <v>30</v>
      </c>
      <c r="G2115" s="121">
        <v>38</v>
      </c>
      <c r="H2115" s="134">
        <f>_xlfn.XLOOKUP(C2115&amp;F2115&amp;I2115&amp;J2115,'[1]2025年已发货'!$F:$F&amp;'[1]2025年已发货'!$C:$C&amp;'[1]2025年已发货'!$G:$G&amp;'[1]2025年已发货'!$H:$H,'[1]2025年已发货'!$E:$E,"未发货")</f>
        <v>36</v>
      </c>
      <c r="I2115" s="120" t="str">
        <f>VLOOKUP(B2115,辅助信息!E:I,3,FALSE)</f>
        <v>(武汉电气化局成达万高铁强电项目-渠县)四川省达州市渠县渠北镇雷家湾渠县北站旁</v>
      </c>
      <c r="J2115" s="120" t="str">
        <f>VLOOKUP(B2115,辅助信息!E:I,4,FALSE)</f>
        <v>刘频</v>
      </c>
      <c r="K2115" s="120">
        <f>VLOOKUP(J2115,辅助信息!H:I,2,FALSE)</f>
        <v>18779627939</v>
      </c>
      <c r="L2115" s="122" t="str">
        <f>VLOOKUP(B2115,辅助信息!E:J,6,FALSE)</f>
        <v>锈货不收！！下雨天钢筋没盖篷布不收！！，装货前联系收货人核实到场规格,没提前告知进场规格现场不给予接收</v>
      </c>
      <c r="M2115" s="91">
        <v>45845</v>
      </c>
      <c r="O2115" s="62">
        <f ca="1" t="shared" si="143"/>
        <v>0</v>
      </c>
      <c r="P2115" s="62">
        <f ca="1" t="shared" si="144"/>
        <v>115</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0" t="s">
        <v>176</v>
      </c>
      <c r="C2116" s="70">
        <v>45845</v>
      </c>
      <c r="D2116" s="120" t="str">
        <f>VLOOKUP(B2116,辅助信息!E:K,7,FALSE)</f>
        <v>JWDDCD2025062200016</v>
      </c>
      <c r="E2116" s="120" t="str">
        <f>VLOOKUP(F2116,辅助信息!A:B,2,FALSE)</f>
        <v>螺纹钢</v>
      </c>
      <c r="F2116" s="120" t="s">
        <v>33</v>
      </c>
      <c r="G2116" s="121">
        <v>34</v>
      </c>
      <c r="H2116" s="134">
        <f>_xlfn.XLOOKUP(C2116&amp;F2116&amp;I2116&amp;J2116,'[1]2025年已发货'!$F:$F&amp;'[1]2025年已发货'!$C:$C&amp;'[1]2025年已发货'!$G:$G&amp;'[1]2025年已发货'!$H:$H,'[1]2025年已发货'!$E:$E,"未发货")</f>
        <v>33</v>
      </c>
      <c r="I2116" s="120" t="str">
        <f>VLOOKUP(B2116,辅助信息!E:I,3,FALSE)</f>
        <v>(武汉电气化局成达万高铁强电项目-渠县)四川省达州市渠县渠北镇雷家湾渠县北站旁</v>
      </c>
      <c r="J2116" s="120" t="str">
        <f>VLOOKUP(B2116,辅助信息!E:I,4,FALSE)</f>
        <v>刘频</v>
      </c>
      <c r="K2116" s="120">
        <f>VLOOKUP(J2116,辅助信息!H:I,2,FALSE)</f>
        <v>18779627939</v>
      </c>
      <c r="L2116" s="122" t="str">
        <f>VLOOKUP(B2116,辅助信息!E:J,6,FALSE)</f>
        <v>锈货不收！！下雨天钢筋没盖篷布不收！！，装货前联系收货人核实到场规格,没提前告知进场规格现场不给予接收</v>
      </c>
      <c r="M2116" s="91">
        <v>45845</v>
      </c>
      <c r="O2116" s="62">
        <f ca="1" t="shared" si="143"/>
        <v>0</v>
      </c>
      <c r="P2116" s="62">
        <f ca="1" t="shared" si="144"/>
        <v>115</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0" t="s">
        <v>176</v>
      </c>
      <c r="C2117" s="70">
        <v>45845</v>
      </c>
      <c r="D2117" s="120" t="str">
        <f>VLOOKUP(B2117,辅助信息!E:K,7,FALSE)</f>
        <v>JWDDCD2025062200016</v>
      </c>
      <c r="E2117" s="120" t="str">
        <f>VLOOKUP(F2117,辅助信息!A:B,2,FALSE)</f>
        <v>螺纹钢</v>
      </c>
      <c r="F2117" s="120" t="s">
        <v>28</v>
      </c>
      <c r="G2117" s="121">
        <v>7</v>
      </c>
      <c r="H2117" s="134">
        <f>_xlfn.XLOOKUP(C2117&amp;F2117&amp;I2117&amp;J2117,'[1]2025年已发货'!$F:$F&amp;'[1]2025年已发货'!$C:$C&amp;'[1]2025年已发货'!$G:$G&amp;'[1]2025年已发货'!$H:$H,'[1]2025年已发货'!$E:$E,"未发货")</f>
        <v>3</v>
      </c>
      <c r="I2117" s="120" t="str">
        <f>VLOOKUP(B2117,辅助信息!E:I,3,FALSE)</f>
        <v>(武汉电气化局成达万高铁强电项目-渠县)四川省达州市渠县渠北镇雷家湾渠县北站旁</v>
      </c>
      <c r="J2117" s="120" t="str">
        <f>VLOOKUP(B2117,辅助信息!E:I,4,FALSE)</f>
        <v>刘频</v>
      </c>
      <c r="K2117" s="120">
        <f>VLOOKUP(J2117,辅助信息!H:I,2,FALSE)</f>
        <v>18779627939</v>
      </c>
      <c r="L2117" s="122" t="str">
        <f>VLOOKUP(B2117,辅助信息!E:J,6,FALSE)</f>
        <v>锈货不收！！下雨天钢筋没盖篷布不收！！，装货前联系收货人核实到场规格,没提前告知进场规格现场不给予接收</v>
      </c>
      <c r="M2117" s="91">
        <v>45845</v>
      </c>
      <c r="O2117" s="62">
        <f ca="1" t="shared" si="143"/>
        <v>0</v>
      </c>
      <c r="P2117" s="62">
        <f ca="1" t="shared" si="144"/>
        <v>115</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0" t="s">
        <v>176</v>
      </c>
      <c r="C2118" s="70">
        <v>45845</v>
      </c>
      <c r="D2118" s="120" t="str">
        <f>VLOOKUP(B2118,辅助信息!E:K,7,FALSE)</f>
        <v>JWDDCD2025062200016</v>
      </c>
      <c r="E2118" s="120" t="str">
        <f>VLOOKUP(F2118,辅助信息!A:B,2,FALSE)</f>
        <v>螺纹钢</v>
      </c>
      <c r="F2118" s="120" t="s">
        <v>18</v>
      </c>
      <c r="G2118" s="121">
        <v>38</v>
      </c>
      <c r="H2118" s="134" t="str">
        <f>_xlfn.XLOOKUP(C2118&amp;F2118&amp;I2118&amp;J2118,'[1]2025年已发货'!$F:$F&amp;'[1]2025年已发货'!$C:$C&amp;'[1]2025年已发货'!$G:$G&amp;'[1]2025年已发货'!$H:$H,'[1]2025年已发货'!$E:$E,"未发货")</f>
        <v>未发货</v>
      </c>
      <c r="I2118" s="120" t="str">
        <f>VLOOKUP(B2118,辅助信息!E:I,3,FALSE)</f>
        <v>(武汉电气化局成达万高铁强电项目-渠县)四川省达州市渠县渠北镇雷家湾渠县北站旁</v>
      </c>
      <c r="J2118" s="120" t="str">
        <f>VLOOKUP(B2118,辅助信息!E:I,4,FALSE)</f>
        <v>刘频</v>
      </c>
      <c r="K2118" s="120">
        <f>VLOOKUP(J2118,辅助信息!H:I,2,FALSE)</f>
        <v>18779627939</v>
      </c>
      <c r="L2118" s="122" t="str">
        <f>VLOOKUP(B2118,辅助信息!E:J,6,FALSE)</f>
        <v>锈货不收！！下雨天钢筋没盖篷布不收！！，装货前联系收货人核实到场规格,没提前告知进场规格现场不给予接收</v>
      </c>
      <c r="M2118" s="91">
        <v>45845</v>
      </c>
      <c r="O2118" s="62">
        <f ca="1" t="shared" si="143"/>
        <v>0</v>
      </c>
      <c r="P2118" s="62">
        <f ca="1" t="shared" si="144"/>
        <v>115</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0" t="s">
        <v>176</v>
      </c>
      <c r="C2119" s="70">
        <v>45845</v>
      </c>
      <c r="D2119" s="120" t="str">
        <f>VLOOKUP(B2119,辅助信息!E:K,7,FALSE)</f>
        <v>JWDDCD2025062200016</v>
      </c>
      <c r="E2119" s="120" t="str">
        <f>VLOOKUP(F2119,辅助信息!A:B,2,FALSE)</f>
        <v>螺纹钢</v>
      </c>
      <c r="F2119" s="120" t="s">
        <v>111</v>
      </c>
      <c r="G2119" s="121">
        <v>5</v>
      </c>
      <c r="H2119" s="134">
        <f>_xlfn.XLOOKUP(C2119&amp;F2119&amp;I2119&amp;J2119,'[1]2025年已发货'!$F:$F&amp;'[1]2025年已发货'!$C:$C&amp;'[1]2025年已发货'!$G:$G&amp;'[1]2025年已发货'!$H:$H,'[1]2025年已发货'!$E:$E,"未发货")</f>
        <v>6</v>
      </c>
      <c r="I2119" s="120" t="str">
        <f>VLOOKUP(B2119,辅助信息!E:I,3,FALSE)</f>
        <v>(武汉电气化局成达万高铁强电项目-渠县)四川省达州市渠县渠北镇雷家湾渠县北站旁</v>
      </c>
      <c r="J2119" s="120" t="str">
        <f>VLOOKUP(B2119,辅助信息!E:I,4,FALSE)</f>
        <v>刘频</v>
      </c>
      <c r="K2119" s="120">
        <f>VLOOKUP(J2119,辅助信息!H:I,2,FALSE)</f>
        <v>18779627939</v>
      </c>
      <c r="L2119" s="122" t="str">
        <f>VLOOKUP(B2119,辅助信息!E:J,6,FALSE)</f>
        <v>锈货不收！！下雨天钢筋没盖篷布不收！！，装货前联系收货人核实到场规格,没提前告知进场规格现场不给予接收</v>
      </c>
      <c r="M2119" s="91">
        <v>45845</v>
      </c>
      <c r="O2119" s="62">
        <f ca="1" t="shared" si="143"/>
        <v>0</v>
      </c>
      <c r="P2119" s="62">
        <f ca="1" t="shared" si="144"/>
        <v>115</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0" t="s">
        <v>176</v>
      </c>
      <c r="C2120" s="70">
        <v>45845</v>
      </c>
      <c r="D2120" s="120" t="str">
        <f>VLOOKUP(B2120,辅助信息!E:K,7,FALSE)</f>
        <v>JWDDCD2025062200016</v>
      </c>
      <c r="E2120" s="120" t="str">
        <f>VLOOKUP(F2120,辅助信息!A:B,2,FALSE)</f>
        <v>螺纹钢</v>
      </c>
      <c r="F2120" s="120" t="s">
        <v>76</v>
      </c>
      <c r="G2120" s="121">
        <v>20</v>
      </c>
      <c r="H2120" s="134">
        <f>_xlfn.XLOOKUP(C2120&amp;F2120&amp;I2120&amp;J2120,'[1]2025年已发货'!$F:$F&amp;'[1]2025年已发货'!$C:$C&amp;'[1]2025年已发货'!$G:$G&amp;'[1]2025年已发货'!$H:$H,'[1]2025年已发货'!$E:$E,"未发货")</f>
        <v>18</v>
      </c>
      <c r="I2120" s="120" t="str">
        <f>VLOOKUP(B2120,辅助信息!E:I,3,FALSE)</f>
        <v>(武汉电气化局成达万高铁强电项目-渠县)四川省达州市渠县渠北镇雷家湾渠县北站旁</v>
      </c>
      <c r="J2120" s="120" t="str">
        <f>VLOOKUP(B2120,辅助信息!E:I,4,FALSE)</f>
        <v>刘频</v>
      </c>
      <c r="K2120" s="120">
        <f>VLOOKUP(J2120,辅助信息!H:I,2,FALSE)</f>
        <v>18779627939</v>
      </c>
      <c r="L2120" s="122" t="str">
        <f>VLOOKUP(B2120,辅助信息!E:J,6,FALSE)</f>
        <v>锈货不收！！下雨天钢筋没盖篷布不收！！，装货前联系收货人核实到场规格,没提前告知进场规格现场不给予接收</v>
      </c>
      <c r="M2120" s="91">
        <v>45845</v>
      </c>
      <c r="O2120" s="62">
        <f ca="1" t="shared" si="143"/>
        <v>0</v>
      </c>
      <c r="P2120" s="62">
        <f ca="1" t="shared" si="144"/>
        <v>115</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0" t="s">
        <v>188</v>
      </c>
      <c r="C2121" s="70">
        <v>45845</v>
      </c>
      <c r="D2121" s="120" t="str">
        <f>VLOOKUP(B2121,辅助信息!E:K,7,FALSE)</f>
        <v>JWDDCD2025062200016</v>
      </c>
      <c r="E2121" s="120" t="str">
        <f>VLOOKUP(F2121,辅助信息!A:B,2,FALSE)</f>
        <v>盘螺</v>
      </c>
      <c r="F2121" s="120" t="s">
        <v>40</v>
      </c>
      <c r="G2121" s="121">
        <v>2.5</v>
      </c>
      <c r="H2121" s="134">
        <f>_xlfn.XLOOKUP(C2121&amp;F2121&amp;I2121&amp;J2121,'[1]2025年已发货'!$F:$F&amp;'[1]2025年已发货'!$C:$C&amp;'[1]2025年已发货'!$G:$G&amp;'[1]2025年已发货'!$H:$H,'[1]2025年已发货'!$E:$E,"未发货")</f>
        <v>2.5</v>
      </c>
      <c r="I2121" s="120" t="str">
        <f>VLOOKUP(B2121,辅助信息!E:I,3,FALSE)</f>
        <v>(武汉电气化局成达万高铁强电项目-达州主城区)四川省达州市达川区斌郎街道四川省达州市达川区洞洞湾256米</v>
      </c>
      <c r="J2121" s="120" t="str">
        <f>VLOOKUP(B2121,辅助信息!E:I,4,FALSE)</f>
        <v>余凡</v>
      </c>
      <c r="K2121" s="120">
        <f>VLOOKUP(J2121,辅助信息!H:I,2,FALSE)</f>
        <v>18228076992</v>
      </c>
      <c r="L2121" s="122" t="str">
        <f>VLOOKUP(B2121,辅助信息!E:J,6,FALSE)</f>
        <v>锈货不收！！下雨天钢筋没盖篷布不收！！，装货前联系收货人核实到场规格,没提前告知进场规格现场不给予接收</v>
      </c>
      <c r="M2121" s="91">
        <v>45845</v>
      </c>
      <c r="O2121" s="62">
        <f ca="1" t="shared" ref="O2121:O2142" si="145">IF(OR(M2121="",N2121&lt;&gt;""),"",MAX(M2121-TODAY(),0))</f>
        <v>0</v>
      </c>
      <c r="P2121" s="62">
        <f ca="1" t="shared" ref="P2121:P2142" si="146">IF(M2121="","",IF(N2121&lt;&gt;"",MAX(N2121-M2121,0),IF(TODAY()&gt;M2121,TODAY()-M2121,0)))</f>
        <v>115</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0" t="s">
        <v>188</v>
      </c>
      <c r="C2122" s="70">
        <v>45845</v>
      </c>
      <c r="D2122" s="120" t="str">
        <f>VLOOKUP(B2122,辅助信息!E:K,7,FALSE)</f>
        <v>JWDDCD2025062200016</v>
      </c>
      <c r="E2122" s="120" t="str">
        <f>VLOOKUP(F2122,辅助信息!A:B,2,FALSE)</f>
        <v>盘螺</v>
      </c>
      <c r="F2122" s="120" t="s">
        <v>41</v>
      </c>
      <c r="G2122" s="121">
        <v>2.5</v>
      </c>
      <c r="H2122" s="134">
        <f>_xlfn.XLOOKUP(C2122&amp;F2122&amp;I2122&amp;J2122,'[1]2025年已发货'!$F:$F&amp;'[1]2025年已发货'!$C:$C&amp;'[1]2025年已发货'!$G:$G&amp;'[1]2025年已发货'!$H:$H,'[1]2025年已发货'!$E:$E,"未发货")</f>
        <v>2.5</v>
      </c>
      <c r="I2122" s="120" t="str">
        <f>VLOOKUP(B2122,辅助信息!E:I,3,FALSE)</f>
        <v>(武汉电气化局成达万高铁强电项目-达州主城区)四川省达州市达川区斌郎街道四川省达州市达川区洞洞湾256米</v>
      </c>
      <c r="J2122" s="120" t="str">
        <f>VLOOKUP(B2122,辅助信息!E:I,4,FALSE)</f>
        <v>余凡</v>
      </c>
      <c r="K2122" s="120">
        <f>VLOOKUP(J2122,辅助信息!H:I,2,FALSE)</f>
        <v>18228076992</v>
      </c>
      <c r="L2122" s="122" t="str">
        <f>VLOOKUP(B2122,辅助信息!E:J,6,FALSE)</f>
        <v>锈货不收！！下雨天钢筋没盖篷布不收！！，装货前联系收货人核实到场规格,没提前告知进场规格现场不给予接收</v>
      </c>
      <c r="M2122" s="91">
        <v>45845</v>
      </c>
      <c r="O2122" s="62">
        <f ca="1" t="shared" si="145"/>
        <v>0</v>
      </c>
      <c r="P2122" s="62">
        <f ca="1" t="shared" si="146"/>
        <v>115</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0" t="s">
        <v>188</v>
      </c>
      <c r="C2123" s="70">
        <v>45845</v>
      </c>
      <c r="D2123" s="120" t="str">
        <f>VLOOKUP(B2123,辅助信息!E:K,7,FALSE)</f>
        <v>JWDDCD2025062200016</v>
      </c>
      <c r="E2123" s="120" t="str">
        <f>VLOOKUP(F2123,辅助信息!A:B,2,FALSE)</f>
        <v>螺纹钢</v>
      </c>
      <c r="F2123" s="120" t="s">
        <v>27</v>
      </c>
      <c r="G2123" s="121">
        <v>9</v>
      </c>
      <c r="H2123" s="134">
        <f>_xlfn.XLOOKUP(C2123&amp;F2123&amp;I2123&amp;J2123,'[1]2025年已发货'!$F:$F&amp;'[1]2025年已发货'!$C:$C&amp;'[1]2025年已发货'!$G:$G&amp;'[1]2025年已发货'!$H:$H,'[1]2025年已发货'!$E:$E,"未发货")</f>
        <v>9</v>
      </c>
      <c r="I2123" s="120" t="str">
        <f>VLOOKUP(B2123,辅助信息!E:I,3,FALSE)</f>
        <v>(武汉电气化局成达万高铁强电项目-达州主城区)四川省达州市达川区斌郎街道四川省达州市达川区洞洞湾256米</v>
      </c>
      <c r="J2123" s="120" t="str">
        <f>VLOOKUP(B2123,辅助信息!E:I,4,FALSE)</f>
        <v>余凡</v>
      </c>
      <c r="K2123" s="120">
        <f>VLOOKUP(J2123,辅助信息!H:I,2,FALSE)</f>
        <v>18228076992</v>
      </c>
      <c r="L2123" s="122" t="str">
        <f>VLOOKUP(B2123,辅助信息!E:J,6,FALSE)</f>
        <v>锈货不收！！下雨天钢筋没盖篷布不收！！，装货前联系收货人核实到场规格,没提前告知进场规格现场不给予接收</v>
      </c>
      <c r="M2123" s="91">
        <v>45845</v>
      </c>
      <c r="O2123" s="62">
        <f ca="1" t="shared" si="145"/>
        <v>0</v>
      </c>
      <c r="P2123" s="62">
        <f ca="1" t="shared" si="146"/>
        <v>115</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0" t="s">
        <v>188</v>
      </c>
      <c r="C2124" s="70">
        <v>45845</v>
      </c>
      <c r="D2124" s="120" t="str">
        <f>VLOOKUP(B2124,辅助信息!E:K,7,FALSE)</f>
        <v>JWDDCD2025062200016</v>
      </c>
      <c r="E2124" s="120" t="str">
        <f>VLOOKUP(F2124,辅助信息!A:B,2,FALSE)</f>
        <v>螺纹钢</v>
      </c>
      <c r="F2124" s="120" t="s">
        <v>19</v>
      </c>
      <c r="G2124" s="121">
        <v>15</v>
      </c>
      <c r="H2124" s="134">
        <f>_xlfn.XLOOKUP(C2124&amp;F2124&amp;I2124&amp;J2124,'[1]2025年已发货'!$F:$F&amp;'[1]2025年已发货'!$C:$C&amp;'[1]2025年已发货'!$G:$G&amp;'[1]2025年已发货'!$H:$H,'[1]2025年已发货'!$E:$E,"未发货")</f>
        <v>15</v>
      </c>
      <c r="I2124" s="120" t="str">
        <f>VLOOKUP(B2124,辅助信息!E:I,3,FALSE)</f>
        <v>(武汉电气化局成达万高铁强电项目-达州主城区)四川省达州市达川区斌郎街道四川省达州市达川区洞洞湾256米</v>
      </c>
      <c r="J2124" s="120" t="str">
        <f>VLOOKUP(B2124,辅助信息!E:I,4,FALSE)</f>
        <v>余凡</v>
      </c>
      <c r="K2124" s="120">
        <f>VLOOKUP(J2124,辅助信息!H:I,2,FALSE)</f>
        <v>18228076992</v>
      </c>
      <c r="L2124" s="122" t="str">
        <f>VLOOKUP(B2124,辅助信息!E:J,6,FALSE)</f>
        <v>锈货不收！！下雨天钢筋没盖篷布不收！！，装货前联系收货人核实到场规格,没提前告知进场规格现场不给予接收</v>
      </c>
      <c r="M2124" s="91">
        <v>45845</v>
      </c>
      <c r="O2124" s="62">
        <f ca="1" t="shared" si="145"/>
        <v>0</v>
      </c>
      <c r="P2124" s="62">
        <f ca="1" t="shared" si="146"/>
        <v>115</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0" t="s">
        <v>188</v>
      </c>
      <c r="C2125" s="70">
        <v>45845</v>
      </c>
      <c r="D2125" s="120" t="str">
        <f>VLOOKUP(B2125,辅助信息!E:K,7,FALSE)</f>
        <v>JWDDCD2025062200016</v>
      </c>
      <c r="E2125" s="120" t="str">
        <f>VLOOKUP(F2125,辅助信息!A:B,2,FALSE)</f>
        <v>螺纹钢</v>
      </c>
      <c r="F2125" s="120" t="s">
        <v>32</v>
      </c>
      <c r="G2125" s="121">
        <v>15</v>
      </c>
      <c r="H2125" s="134">
        <f>_xlfn.XLOOKUP(C2125&amp;F2125&amp;I2125&amp;J2125,'[1]2025年已发货'!$F:$F&amp;'[1]2025年已发货'!$C:$C&amp;'[1]2025年已发货'!$G:$G&amp;'[1]2025年已发货'!$H:$H,'[1]2025年已发货'!$E:$E,"未发货")</f>
        <v>15</v>
      </c>
      <c r="I2125" s="120" t="str">
        <f>VLOOKUP(B2125,辅助信息!E:I,3,FALSE)</f>
        <v>(武汉电气化局成达万高铁强电项目-达州主城区)四川省达州市达川区斌郎街道四川省达州市达川区洞洞湾256米</v>
      </c>
      <c r="J2125" s="120" t="str">
        <f>VLOOKUP(B2125,辅助信息!E:I,4,FALSE)</f>
        <v>余凡</v>
      </c>
      <c r="K2125" s="120">
        <f>VLOOKUP(J2125,辅助信息!H:I,2,FALSE)</f>
        <v>18228076992</v>
      </c>
      <c r="L2125" s="122" t="str">
        <f>VLOOKUP(B2125,辅助信息!E:J,6,FALSE)</f>
        <v>锈货不收！！下雨天钢筋没盖篷布不收！！，装货前联系收货人核实到场规格,没提前告知进场规格现场不给予接收</v>
      </c>
      <c r="M2125" s="91">
        <v>45845</v>
      </c>
      <c r="O2125" s="62">
        <f ca="1" t="shared" si="145"/>
        <v>0</v>
      </c>
      <c r="P2125" s="62">
        <f ca="1" t="shared" si="146"/>
        <v>115</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0" t="s">
        <v>188</v>
      </c>
      <c r="C2126" s="70">
        <v>45845</v>
      </c>
      <c r="D2126" s="120" t="str">
        <f>VLOOKUP(B2126,辅助信息!E:K,7,FALSE)</f>
        <v>JWDDCD2025062200016</v>
      </c>
      <c r="E2126" s="120" t="str">
        <f>VLOOKUP(F2126,辅助信息!A:B,2,FALSE)</f>
        <v>螺纹钢</v>
      </c>
      <c r="F2126" s="120" t="s">
        <v>30</v>
      </c>
      <c r="G2126" s="121">
        <v>46</v>
      </c>
      <c r="H2126" s="134">
        <f>_xlfn.XLOOKUP(C2126&amp;F2126&amp;I2126&amp;J2126,'[1]2025年已发货'!$F:$F&amp;'[1]2025年已发货'!$C:$C&amp;'[1]2025年已发货'!$G:$G&amp;'[1]2025年已发货'!$H:$H,'[1]2025年已发货'!$E:$E,"未发货")</f>
        <v>45</v>
      </c>
      <c r="I2126" s="120" t="str">
        <f>VLOOKUP(B2126,辅助信息!E:I,3,FALSE)</f>
        <v>(武汉电气化局成达万高铁强电项目-达州主城区)四川省达州市达川区斌郎街道四川省达州市达川区洞洞湾256米</v>
      </c>
      <c r="J2126" s="120" t="str">
        <f>VLOOKUP(B2126,辅助信息!E:I,4,FALSE)</f>
        <v>余凡</v>
      </c>
      <c r="K2126" s="120">
        <f>VLOOKUP(J2126,辅助信息!H:I,2,FALSE)</f>
        <v>18228076992</v>
      </c>
      <c r="L2126" s="122" t="str">
        <f>VLOOKUP(B2126,辅助信息!E:J,6,FALSE)</f>
        <v>锈货不收！！下雨天钢筋没盖篷布不收！！，装货前联系收货人核实到场规格,没提前告知进场规格现场不给予接收</v>
      </c>
      <c r="M2126" s="91">
        <v>45845</v>
      </c>
      <c r="O2126" s="62">
        <f ca="1" t="shared" si="145"/>
        <v>0</v>
      </c>
      <c r="P2126" s="62">
        <f ca="1" t="shared" si="146"/>
        <v>115</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0" t="s">
        <v>188</v>
      </c>
      <c r="C2127" s="70">
        <v>45845</v>
      </c>
      <c r="D2127" s="120" t="str">
        <f>VLOOKUP(B2127,辅助信息!E:K,7,FALSE)</f>
        <v>JWDDCD2025062200016</v>
      </c>
      <c r="E2127" s="120" t="str">
        <f>VLOOKUP(F2127,辅助信息!A:B,2,FALSE)</f>
        <v>螺纹钢</v>
      </c>
      <c r="F2127" s="120" t="s">
        <v>33</v>
      </c>
      <c r="G2127" s="121">
        <v>15</v>
      </c>
      <c r="H2127" s="134">
        <f>_xlfn.XLOOKUP(C2127&amp;F2127&amp;I2127&amp;J2127,'[1]2025年已发货'!$F:$F&amp;'[1]2025年已发货'!$C:$C&amp;'[1]2025年已发货'!$G:$G&amp;'[1]2025年已发货'!$H:$H,'[1]2025年已发货'!$E:$E,"未发货")</f>
        <v>15</v>
      </c>
      <c r="I2127" s="120" t="str">
        <f>VLOOKUP(B2127,辅助信息!E:I,3,FALSE)</f>
        <v>(武汉电气化局成达万高铁强电项目-达州主城区)四川省达州市达川区斌郎街道四川省达州市达川区洞洞湾256米</v>
      </c>
      <c r="J2127" s="120" t="str">
        <f>VLOOKUP(B2127,辅助信息!E:I,4,FALSE)</f>
        <v>余凡</v>
      </c>
      <c r="K2127" s="120">
        <f>VLOOKUP(J2127,辅助信息!H:I,2,FALSE)</f>
        <v>18228076992</v>
      </c>
      <c r="L2127" s="122" t="str">
        <f>VLOOKUP(B2127,辅助信息!E:J,6,FALSE)</f>
        <v>锈货不收！！下雨天钢筋没盖篷布不收！！，装货前联系收货人核实到场规格,没提前告知进场规格现场不给予接收</v>
      </c>
      <c r="M2127" s="91">
        <v>45845</v>
      </c>
      <c r="O2127" s="62">
        <f ca="1" t="shared" si="145"/>
        <v>0</v>
      </c>
      <c r="P2127" s="62">
        <f ca="1" t="shared" si="146"/>
        <v>115</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0" t="s">
        <v>188</v>
      </c>
      <c r="C2128" s="70">
        <v>45845</v>
      </c>
      <c r="D2128" s="120" t="str">
        <f>VLOOKUP(B2128,辅助信息!E:K,7,FALSE)</f>
        <v>JWDDCD2025062200016</v>
      </c>
      <c r="E2128" s="120" t="str">
        <f>VLOOKUP(F2128,辅助信息!A:B,2,FALSE)</f>
        <v>螺纹钢</v>
      </c>
      <c r="F2128" s="120" t="s">
        <v>18</v>
      </c>
      <c r="G2128" s="121">
        <v>6</v>
      </c>
      <c r="H2128" s="134" t="str">
        <f>_xlfn.XLOOKUP(C2128&amp;F2128&amp;I2128&amp;J2128,'[1]2025年已发货'!$F:$F&amp;'[1]2025年已发货'!$C:$C&amp;'[1]2025年已发货'!$G:$G&amp;'[1]2025年已发货'!$H:$H,'[1]2025年已发货'!$E:$E,"未发货")</f>
        <v>未发货</v>
      </c>
      <c r="I2128" s="120" t="str">
        <f>VLOOKUP(B2128,辅助信息!E:I,3,FALSE)</f>
        <v>(武汉电气化局成达万高铁强电项目-达州主城区)四川省达州市达川区斌郎街道四川省达州市达川区洞洞湾256米</v>
      </c>
      <c r="J2128" s="120" t="str">
        <f>VLOOKUP(B2128,辅助信息!E:I,4,FALSE)</f>
        <v>余凡</v>
      </c>
      <c r="K2128" s="120">
        <f>VLOOKUP(J2128,辅助信息!H:I,2,FALSE)</f>
        <v>18228076992</v>
      </c>
      <c r="L2128" s="122" t="str">
        <f>VLOOKUP(B2128,辅助信息!E:J,6,FALSE)</f>
        <v>锈货不收！！下雨天钢筋没盖篷布不收！！，装货前联系收货人核实到场规格,没提前告知进场规格现场不给予接收</v>
      </c>
      <c r="M2128" s="91">
        <v>45845</v>
      </c>
      <c r="O2128" s="62">
        <f ca="1" t="shared" si="145"/>
        <v>0</v>
      </c>
      <c r="P2128" s="62">
        <f ca="1" t="shared" si="146"/>
        <v>115</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0" t="s">
        <v>147</v>
      </c>
      <c r="C2129" s="70">
        <v>45845</v>
      </c>
      <c r="D2129" s="120" t="str">
        <f>VLOOKUP(B2129,辅助信息!E:K,7,FALSE)</f>
        <v>JWDDCD2025052800131</v>
      </c>
      <c r="E2129" s="120" t="str">
        <f>VLOOKUP(F2129,辅助信息!A:B,2,FALSE)</f>
        <v>螺纹钢</v>
      </c>
      <c r="F2129" s="120" t="s">
        <v>21</v>
      </c>
      <c r="G2129" s="121">
        <v>6</v>
      </c>
      <c r="H2129" s="134" t="str">
        <f>_xlfn.XLOOKUP(C2129&amp;F2129&amp;I2129&amp;J2129,'[1]2025年已发货'!$F:$F&amp;'[1]2025年已发货'!$C:$C&amp;'[1]2025年已发货'!$G:$G&amp;'[1]2025年已发货'!$H:$H,'[1]2025年已发货'!$E:$E,"未发货")</f>
        <v>未发货</v>
      </c>
      <c r="I2129" s="120" t="str">
        <f>VLOOKUP(B2129,辅助信息!E:I,3,FALSE)</f>
        <v>（商投建工达州中医药科技园-4工区-11号楼）达州市通川区达州中医药职业学院犀牛大道北段</v>
      </c>
      <c r="J2129" s="120" t="str">
        <f>VLOOKUP(B2129,辅助信息!E:I,4,FALSE)</f>
        <v>张扬</v>
      </c>
      <c r="K2129" s="120">
        <f>VLOOKUP(J2129,辅助信息!H:I,2,FALSE)</f>
        <v>18381904567</v>
      </c>
      <c r="L2129" s="122" t="str">
        <f>VLOOKUP(B2129,辅助信息!E:J,6,FALSE)</f>
        <v>控制炉批号！多了现场不收！,优先安排达钢,提前联系到场规格及数量</v>
      </c>
      <c r="M2129" s="91">
        <v>45845</v>
      </c>
      <c r="O2129" s="62">
        <f ca="1" t="shared" si="145"/>
        <v>0</v>
      </c>
      <c r="P2129" s="62">
        <f ca="1" t="shared" si="146"/>
        <v>115</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0" t="s">
        <v>147</v>
      </c>
      <c r="C2130" s="70">
        <v>45845</v>
      </c>
      <c r="D2130" s="120" t="str">
        <f>VLOOKUP(B2130,辅助信息!E:K,7,FALSE)</f>
        <v>JWDDCD2025052800131</v>
      </c>
      <c r="E2130" s="120" t="str">
        <f>VLOOKUP(F2130,辅助信息!A:B,2,FALSE)</f>
        <v>螺纹钢</v>
      </c>
      <c r="F2130" s="120" t="s">
        <v>58</v>
      </c>
      <c r="G2130" s="121">
        <v>6</v>
      </c>
      <c r="H2130" s="134" t="str">
        <f>_xlfn.XLOOKUP(C2130&amp;F2130&amp;I2130&amp;J2130,'[1]2025年已发货'!$F:$F&amp;'[1]2025年已发货'!$C:$C&amp;'[1]2025年已发货'!$G:$G&amp;'[1]2025年已发货'!$H:$H,'[1]2025年已发货'!$E:$E,"未发货")</f>
        <v>未发货</v>
      </c>
      <c r="I2130" s="120" t="str">
        <f>VLOOKUP(B2130,辅助信息!E:I,3,FALSE)</f>
        <v>（商投建工达州中医药科技园-4工区-11号楼）达州市通川区达州中医药职业学院犀牛大道北段</v>
      </c>
      <c r="J2130" s="120" t="str">
        <f>VLOOKUP(B2130,辅助信息!E:I,4,FALSE)</f>
        <v>张扬</v>
      </c>
      <c r="K2130" s="120">
        <f>VLOOKUP(J2130,辅助信息!H:I,2,FALSE)</f>
        <v>18381904567</v>
      </c>
      <c r="L2130" s="122" t="str">
        <f>VLOOKUP(B2130,辅助信息!E:J,6,FALSE)</f>
        <v>控制炉批号！多了现场不收！,优先安排达钢,提前联系到场规格及数量</v>
      </c>
      <c r="M2130" s="91">
        <v>45845</v>
      </c>
      <c r="O2130" s="62">
        <f ca="1" t="shared" si="145"/>
        <v>0</v>
      </c>
      <c r="P2130" s="62">
        <f ca="1" t="shared" si="146"/>
        <v>115</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0" t="s">
        <v>147</v>
      </c>
      <c r="C2131" s="70">
        <v>45845</v>
      </c>
      <c r="D2131" s="120" t="str">
        <f>VLOOKUP(B2131,辅助信息!E:K,7,FALSE)</f>
        <v>JWDDCD2025052800131</v>
      </c>
      <c r="E2131" s="120" t="str">
        <f>VLOOKUP(F2131,辅助信息!A:B,2,FALSE)</f>
        <v>螺纹钢</v>
      </c>
      <c r="F2131" s="120" t="s">
        <v>46</v>
      </c>
      <c r="G2131" s="121">
        <v>15</v>
      </c>
      <c r="H2131" s="134" t="str">
        <f>_xlfn.XLOOKUP(C2131&amp;F2131&amp;I2131&amp;J2131,'[1]2025年已发货'!$F:$F&amp;'[1]2025年已发货'!$C:$C&amp;'[1]2025年已发货'!$G:$G&amp;'[1]2025年已发货'!$H:$H,'[1]2025年已发货'!$E:$E,"未发货")</f>
        <v>未发货</v>
      </c>
      <c r="I2131" s="120" t="str">
        <f>VLOOKUP(B2131,辅助信息!E:I,3,FALSE)</f>
        <v>（商投建工达州中医药科技园-4工区-11号楼）达州市通川区达州中医药职业学院犀牛大道北段</v>
      </c>
      <c r="J2131" s="120" t="str">
        <f>VLOOKUP(B2131,辅助信息!E:I,4,FALSE)</f>
        <v>张扬</v>
      </c>
      <c r="K2131" s="120">
        <f>VLOOKUP(J2131,辅助信息!H:I,2,FALSE)</f>
        <v>18381904567</v>
      </c>
      <c r="L2131" s="122" t="str">
        <f>VLOOKUP(B2131,辅助信息!E:J,6,FALSE)</f>
        <v>控制炉批号！多了现场不收！,优先安排达钢,提前联系到场规格及数量</v>
      </c>
      <c r="M2131" s="91">
        <v>45845</v>
      </c>
      <c r="O2131" s="62">
        <f ca="1" t="shared" si="145"/>
        <v>0</v>
      </c>
      <c r="P2131" s="62">
        <f ca="1" t="shared" si="146"/>
        <v>115</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0" t="s">
        <v>147</v>
      </c>
      <c r="C2132" s="70">
        <v>45845</v>
      </c>
      <c r="D2132" s="120" t="str">
        <f>VLOOKUP(B2132,辅助信息!E:K,7,FALSE)</f>
        <v>JWDDCD2025052800131</v>
      </c>
      <c r="E2132" s="120" t="str">
        <f>VLOOKUP(F2132,辅助信息!A:B,2,FALSE)</f>
        <v>螺纹钢</v>
      </c>
      <c r="F2132" s="120" t="s">
        <v>22</v>
      </c>
      <c r="G2132" s="121">
        <v>9</v>
      </c>
      <c r="H2132" s="134" t="str">
        <f>_xlfn.XLOOKUP(C2132&amp;F2132&amp;I2132&amp;J2132,'[1]2025年已发货'!$F:$F&amp;'[1]2025年已发货'!$C:$C&amp;'[1]2025年已发货'!$G:$G&amp;'[1]2025年已发货'!$H:$H,'[1]2025年已发货'!$E:$E,"未发货")</f>
        <v>未发货</v>
      </c>
      <c r="I2132" s="120" t="str">
        <f>VLOOKUP(B2132,辅助信息!E:I,3,FALSE)</f>
        <v>（商投建工达州中医药科技园-4工区-11号楼）达州市通川区达州中医药职业学院犀牛大道北段</v>
      </c>
      <c r="J2132" s="120" t="str">
        <f>VLOOKUP(B2132,辅助信息!E:I,4,FALSE)</f>
        <v>张扬</v>
      </c>
      <c r="K2132" s="120">
        <f>VLOOKUP(J2132,辅助信息!H:I,2,FALSE)</f>
        <v>18381904567</v>
      </c>
      <c r="L2132" s="122" t="str">
        <f>VLOOKUP(B2132,辅助信息!E:J,6,FALSE)</f>
        <v>控制炉批号！多了现场不收！,优先安排达钢,提前联系到场规格及数量</v>
      </c>
      <c r="M2132" s="91">
        <v>45845</v>
      </c>
      <c r="O2132" s="62">
        <f ca="1" t="shared" si="145"/>
        <v>0</v>
      </c>
      <c r="P2132" s="62">
        <f ca="1" t="shared" si="146"/>
        <v>115</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0" t="s">
        <v>81</v>
      </c>
      <c r="C2133" s="70">
        <v>45845</v>
      </c>
      <c r="D2133" s="120" t="str">
        <f>VLOOKUP(B2133,辅助信息!E:K,7,FALSE)</f>
        <v>JWDDCD2025060900080</v>
      </c>
      <c r="E2133" s="120" t="str">
        <f>VLOOKUP(F2133,辅助信息!A:B,2,FALSE)</f>
        <v>盘螺</v>
      </c>
      <c r="F2133" s="120" t="s">
        <v>40</v>
      </c>
      <c r="G2133" s="121">
        <v>16</v>
      </c>
      <c r="H2133" s="134">
        <f>_xlfn.XLOOKUP(C2133&amp;F2133&amp;I2133&amp;J2133,'[1]2025年已发货'!$F:$F&amp;'[1]2025年已发货'!$C:$C&amp;'[1]2025年已发货'!$G:$G&amp;'[1]2025年已发货'!$H:$H,'[1]2025年已发货'!$E:$E,"未发货")</f>
        <v>15</v>
      </c>
      <c r="I2133" s="120" t="str">
        <f>VLOOKUP(B2133,辅助信息!E:I,3,FALSE)</f>
        <v>（华西简阳西城嘉苑）四川省成都市简阳市简城街道高屋村</v>
      </c>
      <c r="J2133" s="120" t="str">
        <f>VLOOKUP(B2133,辅助信息!E:I,4,FALSE)</f>
        <v>张瀚镭</v>
      </c>
      <c r="K2133" s="120">
        <f>VLOOKUP(J2133,辅助信息!H:I,2,FALSE)</f>
        <v>15884666220</v>
      </c>
      <c r="L2133" s="122" t="str">
        <f>VLOOKUP(B2133,辅助信息!E:J,6,FALSE)</f>
        <v>现场禁止使用氢能源挂车！优先威钢发货,我方卸车,新老国标钢厂不加价可直发，因陕钢多次出现磅差，项目拒绝使用</v>
      </c>
      <c r="M2133" s="91">
        <v>45845</v>
      </c>
      <c r="O2133" s="62">
        <f ca="1" t="shared" si="145"/>
        <v>0</v>
      </c>
      <c r="P2133" s="62">
        <f ca="1" t="shared" si="146"/>
        <v>115</v>
      </c>
      <c r="Q2133" s="29" t="str">
        <f>VLOOKUP(B2133,辅助信息!E:M,9,FALSE)</f>
        <v>ZTWM-CDGS-XS-2024-0030-华西集采-简州大道</v>
      </c>
      <c r="R2133" s="29" t="str">
        <f>_xlfn._xlws.FILTER(辅助信息!D:D,辅助信息!E:E=B2133)</f>
        <v>华西简阳西城嘉苑</v>
      </c>
    </row>
    <row r="2134" hidden="1" spans="2:18">
      <c r="B2134" s="120" t="s">
        <v>81</v>
      </c>
      <c r="C2134" s="70">
        <v>45845</v>
      </c>
      <c r="D2134" s="120" t="str">
        <f>VLOOKUP(B2134,辅助信息!E:K,7,FALSE)</f>
        <v>JWDDCD2025060900080</v>
      </c>
      <c r="E2134" s="120" t="str">
        <f>VLOOKUP(F2134,辅助信息!A:B,2,FALSE)</f>
        <v>盘螺</v>
      </c>
      <c r="F2134" s="120" t="s">
        <v>26</v>
      </c>
      <c r="G2134" s="121">
        <v>15</v>
      </c>
      <c r="H2134" s="134">
        <f>_xlfn.XLOOKUP(C2134&amp;F2134&amp;I2134&amp;J2134,'[1]2025年已发货'!$F:$F&amp;'[1]2025年已发货'!$C:$C&amp;'[1]2025年已发货'!$G:$G&amp;'[1]2025年已发货'!$H:$H,'[1]2025年已发货'!$E:$E,"未发货")</f>
        <v>15</v>
      </c>
      <c r="I2134" s="120" t="str">
        <f>VLOOKUP(B2134,辅助信息!E:I,3,FALSE)</f>
        <v>（华西简阳西城嘉苑）四川省成都市简阳市简城街道高屋村</v>
      </c>
      <c r="J2134" s="120" t="str">
        <f>VLOOKUP(B2134,辅助信息!E:I,4,FALSE)</f>
        <v>张瀚镭</v>
      </c>
      <c r="K2134" s="120">
        <f>VLOOKUP(J2134,辅助信息!H:I,2,FALSE)</f>
        <v>15884666220</v>
      </c>
      <c r="L2134" s="122" t="str">
        <f>VLOOKUP(B2134,辅助信息!E:J,6,FALSE)</f>
        <v>现场禁止使用氢能源挂车！优先威钢发货,我方卸车,新老国标钢厂不加价可直发，因陕钢多次出现磅差，项目拒绝使用</v>
      </c>
      <c r="M2134" s="91">
        <v>45845</v>
      </c>
      <c r="O2134" s="62">
        <f ca="1" t="shared" si="145"/>
        <v>0</v>
      </c>
      <c r="P2134" s="62">
        <f ca="1" t="shared" si="146"/>
        <v>115</v>
      </c>
      <c r="Q2134" s="29" t="str">
        <f>VLOOKUP(B2134,辅助信息!E:M,9,FALSE)</f>
        <v>ZTWM-CDGS-XS-2024-0030-华西集采-简州大道</v>
      </c>
      <c r="R2134" s="29" t="str">
        <f>_xlfn._xlws.FILTER(辅助信息!D:D,辅助信息!E:E=B2134)</f>
        <v>华西简阳西城嘉苑</v>
      </c>
    </row>
    <row r="2135" hidden="1" spans="2:18">
      <c r="B2135" s="120" t="s">
        <v>81</v>
      </c>
      <c r="C2135" s="70">
        <v>45845</v>
      </c>
      <c r="D2135" s="120" t="str">
        <f>VLOOKUP(B2135,辅助信息!E:K,7,FALSE)</f>
        <v>JWDDCD2025060900080</v>
      </c>
      <c r="E2135" s="120" t="str">
        <f>VLOOKUP(F2135,辅助信息!A:B,2,FALSE)</f>
        <v>螺纹钢</v>
      </c>
      <c r="F2135" s="120" t="s">
        <v>30</v>
      </c>
      <c r="G2135" s="121">
        <v>5.5</v>
      </c>
      <c r="H2135" s="134">
        <f>_xlfn.XLOOKUP(C2135&amp;F2135&amp;I2135&amp;J2135,'[1]2025年已发货'!$F:$F&amp;'[1]2025年已发货'!$C:$C&amp;'[1]2025年已发货'!$G:$G&amp;'[1]2025年已发货'!$H:$H,'[1]2025年已发货'!$E:$E,"未发货")</f>
        <v>6</v>
      </c>
      <c r="I2135" s="120" t="str">
        <f>VLOOKUP(B2135,辅助信息!E:I,3,FALSE)</f>
        <v>（华西简阳西城嘉苑）四川省成都市简阳市简城街道高屋村</v>
      </c>
      <c r="J2135" s="120" t="str">
        <f>VLOOKUP(B2135,辅助信息!E:I,4,FALSE)</f>
        <v>张瀚镭</v>
      </c>
      <c r="K2135" s="120">
        <f>VLOOKUP(J2135,辅助信息!H:I,2,FALSE)</f>
        <v>15884666220</v>
      </c>
      <c r="L2135" s="122" t="str">
        <f>VLOOKUP(B2135,辅助信息!E:J,6,FALSE)</f>
        <v>现场禁止使用氢能源挂车！优先威钢发货,我方卸车,新老国标钢厂不加价可直发，因陕钢多次出现磅差，项目拒绝使用</v>
      </c>
      <c r="M2135" s="91">
        <v>45845</v>
      </c>
      <c r="O2135" s="62">
        <f ca="1" t="shared" si="145"/>
        <v>0</v>
      </c>
      <c r="P2135" s="62">
        <f ca="1" t="shared" si="146"/>
        <v>115</v>
      </c>
      <c r="Q2135" s="29" t="str">
        <f>VLOOKUP(B2135,辅助信息!E:M,9,FALSE)</f>
        <v>ZTWM-CDGS-XS-2024-0030-华西集采-简州大道</v>
      </c>
      <c r="R2135" s="29" t="str">
        <f>_xlfn._xlws.FILTER(辅助信息!D:D,辅助信息!E:E=B2135)</f>
        <v>华西简阳西城嘉苑</v>
      </c>
    </row>
    <row r="2136" hidden="1" spans="2:18">
      <c r="B2136" s="40" t="s">
        <v>159</v>
      </c>
      <c r="C2136" s="70">
        <v>45845</v>
      </c>
      <c r="D2136" s="120" t="str">
        <f>VLOOKUP(B2136,辅助信息!E:K,7,FALSE)</f>
        <v>JWDDCD2025052800131</v>
      </c>
      <c r="E2136" s="120" t="str">
        <f>VLOOKUP(F2136,辅助信息!A:B,2,FALSE)</f>
        <v>螺纹钢</v>
      </c>
      <c r="F2136" s="40" t="s">
        <v>66</v>
      </c>
      <c r="G2136" s="36">
        <v>6</v>
      </c>
      <c r="H2136" s="134" t="str">
        <f>_xlfn.XLOOKUP(C2136&amp;F2136&amp;I2136&amp;J2136,'[1]2025年已发货'!$F:$F&amp;'[1]2025年已发货'!$C:$C&amp;'[1]2025年已发货'!$G:$G&amp;'[1]2025年已发货'!$H:$H,'[1]2025年已发货'!$E:$E,"未发货")</f>
        <v>未发货</v>
      </c>
      <c r="I2136" s="120" t="str">
        <f>VLOOKUP(B2136,辅助信息!E:I,3,FALSE)</f>
        <v>（商投建工达州中医药科技园-3工区）达州市通川区达州中医药职业学院犀牛大道北段</v>
      </c>
      <c r="J2136" s="120" t="str">
        <f>VLOOKUP(B2136,辅助信息!E:I,4,FALSE)</f>
        <v>程黄刚</v>
      </c>
      <c r="K2136" s="120">
        <f>VLOOKUP(J2136,辅助信息!H:I,2,FALSE)</f>
        <v>15108211617</v>
      </c>
      <c r="L2136" s="122" t="str">
        <f>VLOOKUP(B2136,辅助信息!E:J,6,FALSE)</f>
        <v>控制炉批号！多了现场不收！,优先安排达钢,提前联系到场规格及数量</v>
      </c>
      <c r="M2136" s="91">
        <v>45845</v>
      </c>
      <c r="O2136" s="62">
        <f ca="1" t="shared" si="145"/>
        <v>0</v>
      </c>
      <c r="P2136" s="62">
        <f ca="1" t="shared" si="146"/>
        <v>115</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0">
        <v>45845</v>
      </c>
      <c r="D2137" s="120" t="str">
        <f>VLOOKUP(B2137,辅助信息!E:K,7,FALSE)</f>
        <v>JWDDCD2025052800131</v>
      </c>
      <c r="E2137" s="120" t="str">
        <f>VLOOKUP(F2137,辅助信息!A:B,2,FALSE)</f>
        <v>螺纹钢</v>
      </c>
      <c r="F2137" s="40" t="s">
        <v>45</v>
      </c>
      <c r="G2137" s="36">
        <v>6</v>
      </c>
      <c r="H2137" s="134" t="str">
        <f>_xlfn.XLOOKUP(C2137&amp;F2137&amp;I2137&amp;J2137,'[1]2025年已发货'!$F:$F&amp;'[1]2025年已发货'!$C:$C&amp;'[1]2025年已发货'!$G:$G&amp;'[1]2025年已发货'!$H:$H,'[1]2025年已发货'!$E:$E,"未发货")</f>
        <v>未发货</v>
      </c>
      <c r="I2137" s="120" t="str">
        <f>VLOOKUP(B2137,辅助信息!E:I,3,FALSE)</f>
        <v>（商投建工达州中医药科技园-3工区）达州市通川区达州中医药职业学院犀牛大道北段</v>
      </c>
      <c r="J2137" s="120" t="str">
        <f>VLOOKUP(B2137,辅助信息!E:I,4,FALSE)</f>
        <v>程黄刚</v>
      </c>
      <c r="K2137" s="120">
        <f>VLOOKUP(J2137,辅助信息!H:I,2,FALSE)</f>
        <v>15108211617</v>
      </c>
      <c r="L2137" s="122" t="str">
        <f>VLOOKUP(B2137,辅助信息!E:J,6,FALSE)</f>
        <v>控制炉批号！多了现场不收！,优先安排达钢,提前联系到场规格及数量</v>
      </c>
      <c r="M2137" s="91">
        <v>45845</v>
      </c>
      <c r="O2137" s="62">
        <f ca="1" t="shared" si="145"/>
        <v>0</v>
      </c>
      <c r="P2137" s="62">
        <f ca="1" t="shared" si="146"/>
        <v>115</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0">
        <v>45845</v>
      </c>
      <c r="D2138" s="120" t="str">
        <f>VLOOKUP(B2138,辅助信息!E:K,7,FALSE)</f>
        <v>JWDDCD2025052800131</v>
      </c>
      <c r="E2138" s="120" t="str">
        <f>VLOOKUP(F2138,辅助信息!A:B,2,FALSE)</f>
        <v>螺纹钢</v>
      </c>
      <c r="F2138" s="40" t="s">
        <v>21</v>
      </c>
      <c r="G2138" s="36">
        <v>6</v>
      </c>
      <c r="H2138" s="134" t="str">
        <f>_xlfn.XLOOKUP(C2138&amp;F2138&amp;I2138&amp;J2138,'[1]2025年已发货'!$F:$F&amp;'[1]2025年已发货'!$C:$C&amp;'[1]2025年已发货'!$G:$G&amp;'[1]2025年已发货'!$H:$H,'[1]2025年已发货'!$E:$E,"未发货")</f>
        <v>未发货</v>
      </c>
      <c r="I2138" s="120" t="str">
        <f>VLOOKUP(B2138,辅助信息!E:I,3,FALSE)</f>
        <v>（商投建工达州中医药科技园-3工区）达州市通川区达州中医药职业学院犀牛大道北段</v>
      </c>
      <c r="J2138" s="120" t="str">
        <f>VLOOKUP(B2138,辅助信息!E:I,4,FALSE)</f>
        <v>程黄刚</v>
      </c>
      <c r="K2138" s="120">
        <f>VLOOKUP(J2138,辅助信息!H:I,2,FALSE)</f>
        <v>15108211617</v>
      </c>
      <c r="L2138" s="122" t="str">
        <f>VLOOKUP(B2138,辅助信息!E:J,6,FALSE)</f>
        <v>控制炉批号！多了现场不收！,优先安排达钢,提前联系到场规格及数量</v>
      </c>
      <c r="M2138" s="91">
        <v>45845</v>
      </c>
      <c r="O2138" s="62">
        <f ca="1" t="shared" si="145"/>
        <v>0</v>
      </c>
      <c r="P2138" s="62">
        <f ca="1" t="shared" si="146"/>
        <v>115</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0">
        <v>45845</v>
      </c>
      <c r="D2139" s="120" t="str">
        <f>VLOOKUP(B2139,辅助信息!E:K,7,FALSE)</f>
        <v>JWDDCD2025052800131</v>
      </c>
      <c r="E2139" s="120" t="str">
        <f>VLOOKUP(F2139,辅助信息!A:B,2,FALSE)</f>
        <v>螺纹钢</v>
      </c>
      <c r="F2139" s="40" t="s">
        <v>46</v>
      </c>
      <c r="G2139" s="36">
        <v>12</v>
      </c>
      <c r="H2139" s="134" t="str">
        <f>_xlfn.XLOOKUP(C2139&amp;F2139&amp;I2139&amp;J2139,'[1]2025年已发货'!$F:$F&amp;'[1]2025年已发货'!$C:$C&amp;'[1]2025年已发货'!$G:$G&amp;'[1]2025年已发货'!$H:$H,'[1]2025年已发货'!$E:$E,"未发货")</f>
        <v>未发货</v>
      </c>
      <c r="I2139" s="120" t="str">
        <f>VLOOKUP(B2139,辅助信息!E:I,3,FALSE)</f>
        <v>（商投建工达州中医药科技园-3工区）达州市通川区达州中医药职业学院犀牛大道北段</v>
      </c>
      <c r="J2139" s="120" t="str">
        <f>VLOOKUP(B2139,辅助信息!E:I,4,FALSE)</f>
        <v>程黄刚</v>
      </c>
      <c r="K2139" s="120">
        <f>VLOOKUP(J2139,辅助信息!H:I,2,FALSE)</f>
        <v>15108211617</v>
      </c>
      <c r="L2139" s="122" t="str">
        <f>VLOOKUP(B2139,辅助信息!E:J,6,FALSE)</f>
        <v>控制炉批号！多了现场不收！,优先安排达钢,提前联系到场规格及数量</v>
      </c>
      <c r="M2139" s="91">
        <v>45845</v>
      </c>
      <c r="O2139" s="62">
        <f ca="1" t="shared" si="145"/>
        <v>0</v>
      </c>
      <c r="P2139" s="62">
        <f ca="1" t="shared" si="146"/>
        <v>115</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0">
        <v>45845</v>
      </c>
      <c r="D2140" s="120" t="e">
        <f>VLOOKUP(B2140,辅助信息!E:K,7,FALSE)</f>
        <v>#N/A</v>
      </c>
      <c r="E2140" s="120" t="str">
        <f>VLOOKUP(F2140,辅助信息!A:B,2,FALSE)</f>
        <v>盘螺</v>
      </c>
      <c r="F2140" s="40" t="s">
        <v>40</v>
      </c>
      <c r="G2140" s="36">
        <v>3</v>
      </c>
      <c r="H2140" s="134" t="e">
        <f>_xlfn.XLOOKUP(C2140&amp;F2140&amp;I2140&amp;J2140,'[1]2025年已发货'!$F:$F&amp;'[1]2025年已发货'!$C:$C&amp;'[1]2025年已发货'!$G:$G&amp;'[1]2025年已发货'!$H:$H,'[1]2025年已发货'!$E:$E,"未发货")</f>
        <v>#N/A</v>
      </c>
      <c r="I2140" s="120" t="e">
        <f>VLOOKUP(B2140,辅助信息!E:I,3,FALSE)</f>
        <v>#N/A</v>
      </c>
      <c r="J2140" s="120" t="e">
        <f>VLOOKUP(B2140,辅助信息!E:I,4,FALSE)</f>
        <v>#N/A</v>
      </c>
      <c r="K2140" s="120" t="e">
        <f>VLOOKUP(J2140,辅助信息!H:I,2,FALSE)</f>
        <v>#N/A</v>
      </c>
      <c r="L2140" s="122" t="e">
        <f>VLOOKUP(B2140,辅助信息!E:J,6,FALSE)</f>
        <v>#N/A</v>
      </c>
      <c r="M2140" s="91">
        <v>45845</v>
      </c>
      <c r="O2140" s="62">
        <f ca="1" t="shared" si="145"/>
        <v>0</v>
      </c>
      <c r="P2140" s="62">
        <f ca="1" t="shared" si="146"/>
        <v>115</v>
      </c>
      <c r="Q2140" s="29" t="e">
        <f>VLOOKUP(B2140,辅助信息!E:M,9,FALSE)</f>
        <v>#N/A</v>
      </c>
      <c r="R2140" s="29" vm="1" t="e">
        <f>_xlfn._xlws.FILTER(辅助信息!D:D,辅助信息!E:E=B2140)</f>
        <v>#VALUE!</v>
      </c>
    </row>
    <row r="2141" hidden="1" spans="2:18">
      <c r="B2141" s="40" t="s">
        <v>156</v>
      </c>
      <c r="C2141" s="70">
        <v>45845</v>
      </c>
      <c r="D2141" s="120" t="e">
        <f>VLOOKUP(B2141,辅助信息!E:K,7,FALSE)</f>
        <v>#N/A</v>
      </c>
      <c r="E2141" s="120" t="str">
        <f>VLOOKUP(F2141,辅助信息!A:B,2,FALSE)</f>
        <v>螺纹钢</v>
      </c>
      <c r="F2141" s="40" t="s">
        <v>19</v>
      </c>
      <c r="G2141" s="36">
        <v>16</v>
      </c>
      <c r="H2141" s="134" t="e">
        <f>_xlfn.XLOOKUP(C2141&amp;F2141&amp;I2141&amp;J2141,'[1]2025年已发货'!$F:$F&amp;'[1]2025年已发货'!$C:$C&amp;'[1]2025年已发货'!$G:$G&amp;'[1]2025年已发货'!$H:$H,'[1]2025年已发货'!$E:$E,"未发货")</f>
        <v>#N/A</v>
      </c>
      <c r="I2141" s="120" t="e">
        <f>VLOOKUP(B2141,辅助信息!E:I,3,FALSE)</f>
        <v>#N/A</v>
      </c>
      <c r="J2141" s="120" t="e">
        <f>VLOOKUP(B2141,辅助信息!E:I,4,FALSE)</f>
        <v>#N/A</v>
      </c>
      <c r="K2141" s="120" t="e">
        <f>VLOOKUP(J2141,辅助信息!H:I,2,FALSE)</f>
        <v>#N/A</v>
      </c>
      <c r="L2141" s="122" t="e">
        <f>VLOOKUP(B2141,辅助信息!E:J,6,FALSE)</f>
        <v>#N/A</v>
      </c>
      <c r="M2141" s="91">
        <v>45845</v>
      </c>
      <c r="O2141" s="62">
        <f ca="1" t="shared" si="145"/>
        <v>0</v>
      </c>
      <c r="P2141" s="62">
        <f ca="1" t="shared" si="146"/>
        <v>115</v>
      </c>
      <c r="Q2141" s="29" t="e">
        <f>VLOOKUP(B2141,辅助信息!E:M,9,FALSE)</f>
        <v>#N/A</v>
      </c>
      <c r="R2141" s="29" vm="1" t="e">
        <f>_xlfn._xlws.FILTER(辅助信息!D:D,辅助信息!E:E=B2141)</f>
        <v>#VALUE!</v>
      </c>
    </row>
    <row r="2142" hidden="1" spans="2:18">
      <c r="B2142" s="40" t="s">
        <v>156</v>
      </c>
      <c r="C2142" s="70">
        <v>45845</v>
      </c>
      <c r="D2142" s="120" t="e">
        <f>VLOOKUP(B2142,辅助信息!E:K,7,FALSE)</f>
        <v>#N/A</v>
      </c>
      <c r="E2142" s="120" t="str">
        <f>VLOOKUP(F2142,辅助信息!A:B,2,FALSE)</f>
        <v>螺纹钢</v>
      </c>
      <c r="F2142" s="40" t="s">
        <v>30</v>
      </c>
      <c r="G2142" s="36">
        <v>24</v>
      </c>
      <c r="H2142" s="134" t="e">
        <f>_xlfn.XLOOKUP(C2142&amp;F2142&amp;I2142&amp;J2142,'[1]2025年已发货'!$F:$F&amp;'[1]2025年已发货'!$C:$C&amp;'[1]2025年已发货'!$G:$G&amp;'[1]2025年已发货'!$H:$H,'[1]2025年已发货'!$E:$E,"未发货")</f>
        <v>#N/A</v>
      </c>
      <c r="I2142" s="120" t="e">
        <f>VLOOKUP(B2142,辅助信息!E:I,3,FALSE)</f>
        <v>#N/A</v>
      </c>
      <c r="J2142" s="120" t="e">
        <f>VLOOKUP(B2142,辅助信息!E:I,4,FALSE)</f>
        <v>#N/A</v>
      </c>
      <c r="K2142" s="120" t="e">
        <f>VLOOKUP(J2142,辅助信息!H:I,2,FALSE)</f>
        <v>#N/A</v>
      </c>
      <c r="L2142" s="122" t="e">
        <f>VLOOKUP(B2142,辅助信息!E:J,6,FALSE)</f>
        <v>#N/A</v>
      </c>
      <c r="M2142" s="91">
        <v>45845</v>
      </c>
      <c r="O2142" s="62">
        <f ca="1" t="shared" si="145"/>
        <v>0</v>
      </c>
      <c r="P2142" s="62">
        <f ca="1" t="shared" si="146"/>
        <v>115</v>
      </c>
      <c r="Q2142" s="29" t="e">
        <f>VLOOKUP(B2142,辅助信息!E:M,9,FALSE)</f>
        <v>#N/A</v>
      </c>
      <c r="R2142" s="29" vm="1" t="e">
        <f>_xlfn._xlws.FILTER(辅助信息!D:D,辅助信息!E:E=B2142)</f>
        <v>#VALUE!</v>
      </c>
    </row>
    <row r="2143" hidden="1" spans="1:12">
      <c r="A2143" s="71" t="s">
        <v>189</v>
      </c>
      <c r="B2143" s="40" t="s">
        <v>180</v>
      </c>
      <c r="C2143" s="70">
        <v>45845</v>
      </c>
      <c r="D2143" s="120" t="str">
        <f>VLOOKUP(B2143,辅助信息!E:K,7,FALSE)</f>
        <v>JWDDCD2025052800131</v>
      </c>
      <c r="E2143" s="120" t="str">
        <f>VLOOKUP(F2143,辅助信息!A:B,2,FALSE)</f>
        <v>盘螺</v>
      </c>
      <c r="F2143" s="40" t="s">
        <v>49</v>
      </c>
      <c r="G2143" s="36">
        <v>6</v>
      </c>
      <c r="H2143" s="134" t="str">
        <f>_xlfn.XLOOKUP(C2143&amp;F2143&amp;I2143&amp;J2143,'[1]2025年已发货'!$F:$F&amp;'[1]2025年已发货'!$C:$C&amp;'[1]2025年已发货'!$G:$G&amp;'[1]2025年已发货'!$H:$H,'[1]2025年已发货'!$E:$E,"未发货")</f>
        <v>未发货</v>
      </c>
      <c r="I2143" s="120" t="str">
        <f>VLOOKUP(B2143,辅助信息!E:I,3,FALSE)</f>
        <v>（商投建工达州中医药科技园-4工区-8号楼）达州市通川区达州中医药职业学院犀牛大道北段</v>
      </c>
      <c r="J2143" s="120" t="str">
        <f>VLOOKUP(B2143,辅助信息!E:I,4,FALSE)</f>
        <v>张扬</v>
      </c>
      <c r="K2143" s="120">
        <f>VLOOKUP(J2143,辅助信息!H:I,2,FALSE)</f>
        <v>18381904567</v>
      </c>
      <c r="L2143" s="122" t="str">
        <f>VLOOKUP(B2143,辅助信息!E:J,6,FALSE)</f>
        <v>控制炉批号！多了现场不收！,优先安排达钢,提前联系到场规格及数量</v>
      </c>
    </row>
    <row r="2144" hidden="1" spans="1:12">
      <c r="A2144" s="71"/>
      <c r="B2144" s="40" t="s">
        <v>180</v>
      </c>
      <c r="C2144" s="70">
        <v>45845</v>
      </c>
      <c r="D2144" s="120" t="str">
        <f>VLOOKUP(B2144,辅助信息!E:K,7,FALSE)</f>
        <v>JWDDCD2025052800131</v>
      </c>
      <c r="E2144" s="120" t="str">
        <f>VLOOKUP(F2144,辅助信息!A:B,2,FALSE)</f>
        <v>盘螺</v>
      </c>
      <c r="F2144" s="40" t="s">
        <v>40</v>
      </c>
      <c r="G2144" s="36">
        <v>21</v>
      </c>
      <c r="H2144" s="134" t="str">
        <f>_xlfn.XLOOKUP(C2144&amp;F2144&amp;I2144&amp;J2144,'[1]2025年已发货'!$F:$F&amp;'[1]2025年已发货'!$C:$C&amp;'[1]2025年已发货'!$G:$G&amp;'[1]2025年已发货'!$H:$H,'[1]2025年已发货'!$E:$E,"未发货")</f>
        <v>未发货</v>
      </c>
      <c r="I2144" s="120" t="str">
        <f>VLOOKUP(B2144,辅助信息!E:I,3,FALSE)</f>
        <v>（商投建工达州中医药科技园-4工区-8号楼）达州市通川区达州中医药职业学院犀牛大道北段</v>
      </c>
      <c r="J2144" s="120" t="str">
        <f>VLOOKUP(B2144,辅助信息!E:I,4,FALSE)</f>
        <v>张扬</v>
      </c>
      <c r="K2144" s="120">
        <f>VLOOKUP(J2144,辅助信息!H:I,2,FALSE)</f>
        <v>18381904567</v>
      </c>
      <c r="L2144" s="122" t="str">
        <f>VLOOKUP(B2144,辅助信息!E:J,6,FALSE)</f>
        <v>控制炉批号！多了现场不收！,优先安排达钢,提前联系到场规格及数量</v>
      </c>
    </row>
    <row r="2145" hidden="1" spans="1:12">
      <c r="A2145" s="71"/>
      <c r="B2145" s="40" t="s">
        <v>180</v>
      </c>
      <c r="C2145" s="70">
        <v>45845</v>
      </c>
      <c r="D2145" s="120" t="str">
        <f>VLOOKUP(B2145,辅助信息!E:K,7,FALSE)</f>
        <v>JWDDCD2025052800131</v>
      </c>
      <c r="E2145" s="120" t="str">
        <f>VLOOKUP(F2145,辅助信息!A:B,2,FALSE)</f>
        <v>盘螺</v>
      </c>
      <c r="F2145" s="40" t="s">
        <v>41</v>
      </c>
      <c r="G2145" s="36">
        <v>15</v>
      </c>
      <c r="H2145" s="134" t="str">
        <f>_xlfn.XLOOKUP(C2145&amp;F2145&amp;I2145&amp;J2145,'[1]2025年已发货'!$F:$F&amp;'[1]2025年已发货'!$C:$C&amp;'[1]2025年已发货'!$G:$G&amp;'[1]2025年已发货'!$H:$H,'[1]2025年已发货'!$E:$E,"未发货")</f>
        <v>未发货</v>
      </c>
      <c r="I2145" s="120" t="str">
        <f>VLOOKUP(B2145,辅助信息!E:I,3,FALSE)</f>
        <v>（商投建工达州中医药科技园-4工区-8号楼）达州市通川区达州中医药职业学院犀牛大道北段</v>
      </c>
      <c r="J2145" s="120" t="str">
        <f>VLOOKUP(B2145,辅助信息!E:I,4,FALSE)</f>
        <v>张扬</v>
      </c>
      <c r="K2145" s="120">
        <f>VLOOKUP(J2145,辅助信息!H:I,2,FALSE)</f>
        <v>18381904567</v>
      </c>
      <c r="L2145" s="122" t="str">
        <f>VLOOKUP(B2145,辅助信息!E:J,6,FALSE)</f>
        <v>控制炉批号！多了现场不收！,优先安排达钢,提前联系到场规格及数量</v>
      </c>
    </row>
    <row r="2146" hidden="1" spans="1:12">
      <c r="A2146" s="71"/>
      <c r="B2146" s="40" t="s">
        <v>69</v>
      </c>
      <c r="C2146" s="70">
        <v>45845</v>
      </c>
      <c r="D2146" s="120" t="str">
        <f>VLOOKUP(B2146,辅助信息!E:K,7,FALSE)</f>
        <v>JWDDCD2025052800131</v>
      </c>
      <c r="E2146" s="120" t="str">
        <f>VLOOKUP(F2146,辅助信息!A:B,2,FALSE)</f>
        <v>螺纹钢</v>
      </c>
      <c r="F2146" s="40" t="s">
        <v>19</v>
      </c>
      <c r="G2146" s="36">
        <v>3</v>
      </c>
      <c r="H2146" s="134" t="str">
        <f>_xlfn.XLOOKUP(C2146&amp;F2146&amp;I2146&amp;J2146,'[1]2025年已发货'!$F:$F&amp;'[1]2025年已发货'!$C:$C&amp;'[1]2025年已发货'!$G:$G&amp;'[1]2025年已发货'!$H:$H,'[1]2025年已发货'!$E:$E,"未发货")</f>
        <v>未发货</v>
      </c>
      <c r="I2146" s="120" t="str">
        <f>VLOOKUP(B2146,辅助信息!E:I,3,FALSE)</f>
        <v>（商投建工达州中医药科技园-4工区-2号楼）达州市通川区达州中医药职业学院犀牛大道北段</v>
      </c>
      <c r="J2146" s="120" t="str">
        <f>VLOOKUP(B2146,辅助信息!E:I,4,FALSE)</f>
        <v>张扬</v>
      </c>
      <c r="K2146" s="120">
        <f>VLOOKUP(J2146,辅助信息!H:I,2,FALSE)</f>
        <v>18381904567</v>
      </c>
      <c r="L2146" s="122" t="str">
        <f>VLOOKUP(B2146,辅助信息!E:J,6,FALSE)</f>
        <v>控制炉批号！多了现场不收！,优先安排达钢,提前联系到场规格及数量</v>
      </c>
    </row>
    <row r="2147" hidden="1" spans="2:18">
      <c r="B2147" s="120" t="s">
        <v>176</v>
      </c>
      <c r="C2147" s="70">
        <v>45847</v>
      </c>
      <c r="D2147" s="120" t="str">
        <f>VLOOKUP(B2147,辅助信息!E:K,7,FALSE)</f>
        <v>JWDDCD2025062200016</v>
      </c>
      <c r="E2147" s="120" t="str">
        <f>VLOOKUP(F2147,辅助信息!A:B,2,FALSE)</f>
        <v>高线</v>
      </c>
      <c r="F2147" s="120" t="s">
        <v>57</v>
      </c>
      <c r="G2147" s="121">
        <v>5</v>
      </c>
      <c r="H2147" s="134" t="str">
        <f>_xlfn.XLOOKUP(C2147&amp;F2147&amp;I2147&amp;J2147,'[1]2025年已发货'!$F:$F&amp;'[1]2025年已发货'!$C:$C&amp;'[1]2025年已发货'!$G:$G&amp;'[1]2025年已发货'!$H:$H,'[1]2025年已发货'!$E:$E,"未发货")</f>
        <v>未发货</v>
      </c>
      <c r="I2147" s="120" t="str">
        <f>VLOOKUP(B2147,辅助信息!E:I,3,FALSE)</f>
        <v>(武汉电气化局成达万高铁强电项目-渠县)四川省达州市渠县渠北镇雷家湾渠县北站旁</v>
      </c>
      <c r="J2147" s="120" t="str">
        <f>VLOOKUP(B2147,辅助信息!E:I,4,FALSE)</f>
        <v>刘频</v>
      </c>
      <c r="K2147" s="120">
        <f>VLOOKUP(J2147,辅助信息!H:I,2,FALSE)</f>
        <v>18779627939</v>
      </c>
      <c r="L2147" s="122" t="str">
        <f>VLOOKUP(B2147,辅助信息!E:J,6,FALSE)</f>
        <v>锈货不收！！下雨天钢筋没盖篷布不收！！，装货前联系收货人核实到场规格,没提前告知进场规格现场不给予接收</v>
      </c>
      <c r="M2147" s="91">
        <v>45845</v>
      </c>
      <c r="O2147" s="62">
        <f ca="1" t="shared" ref="O2147:O2210" si="147">IF(OR(M2147="",N2147&lt;&gt;""),"",MAX(M2147-TODAY(),0))</f>
        <v>0</v>
      </c>
      <c r="P2147" s="62">
        <f ca="1" t="shared" ref="P2147:P2210" si="148">IF(M2147="","",IF(N2147&lt;&gt;"",MAX(N2147-M2147,0),IF(TODAY()&gt;M2147,TODAY()-M2147,0)))</f>
        <v>115</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0" t="s">
        <v>176</v>
      </c>
      <c r="C2148" s="70">
        <v>45847</v>
      </c>
      <c r="D2148" s="120" t="str">
        <f>VLOOKUP(B2148,辅助信息!E:K,7,FALSE)</f>
        <v>JWDDCD2025062200016</v>
      </c>
      <c r="E2148" s="120" t="str">
        <f>VLOOKUP(F2148,辅助信息!A:B,2,FALSE)</f>
        <v>螺纹钢</v>
      </c>
      <c r="F2148" s="120" t="s">
        <v>27</v>
      </c>
      <c r="G2148" s="121">
        <f>47-24</f>
        <v>23</v>
      </c>
      <c r="H2148" s="134" t="str">
        <f>_xlfn.XLOOKUP(C2148&amp;F2148&amp;I2148&amp;J2148,'[1]2025年已发货'!$F:$F&amp;'[1]2025年已发货'!$C:$C&amp;'[1]2025年已发货'!$G:$G&amp;'[1]2025年已发货'!$H:$H,'[1]2025年已发货'!$E:$E,"未发货")</f>
        <v>未发货</v>
      </c>
      <c r="I2148" s="120" t="str">
        <f>VLOOKUP(B2148,辅助信息!E:I,3,FALSE)</f>
        <v>(武汉电气化局成达万高铁强电项目-渠县)四川省达州市渠县渠北镇雷家湾渠县北站旁</v>
      </c>
      <c r="J2148" s="120" t="str">
        <f>VLOOKUP(B2148,辅助信息!E:I,4,FALSE)</f>
        <v>刘频</v>
      </c>
      <c r="K2148" s="120">
        <f>VLOOKUP(J2148,辅助信息!H:I,2,FALSE)</f>
        <v>18779627939</v>
      </c>
      <c r="L2148" s="122" t="str">
        <f>VLOOKUP(B2148,辅助信息!E:J,6,FALSE)</f>
        <v>锈货不收！！下雨天钢筋没盖篷布不收！！，装货前联系收货人核实到场规格,没提前告知进场规格现场不给予接收</v>
      </c>
      <c r="M2148" s="91">
        <v>45845</v>
      </c>
      <c r="O2148" s="62">
        <f ca="1" t="shared" si="147"/>
        <v>0</v>
      </c>
      <c r="P2148" s="62">
        <f ca="1" t="shared" si="148"/>
        <v>115</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0" t="s">
        <v>176</v>
      </c>
      <c r="C2149" s="70">
        <v>45847</v>
      </c>
      <c r="D2149" s="120" t="str">
        <f>VLOOKUP(B2149,辅助信息!E:K,7,FALSE)</f>
        <v>JWDDCD2025062200016</v>
      </c>
      <c r="E2149" s="120" t="str">
        <f>VLOOKUP(F2149,辅助信息!A:B,2,FALSE)</f>
        <v>螺纹钢</v>
      </c>
      <c r="F2149" s="120" t="s">
        <v>18</v>
      </c>
      <c r="G2149" s="121">
        <v>38</v>
      </c>
      <c r="H2149" s="134" t="str">
        <f>_xlfn.XLOOKUP(C2149&amp;F2149&amp;I2149&amp;J2149,'[1]2025年已发货'!$F:$F&amp;'[1]2025年已发货'!$C:$C&amp;'[1]2025年已发货'!$G:$G&amp;'[1]2025年已发货'!$H:$H,'[1]2025年已发货'!$E:$E,"未发货")</f>
        <v>未发货</v>
      </c>
      <c r="I2149" s="120" t="str">
        <f>VLOOKUP(B2149,辅助信息!E:I,3,FALSE)</f>
        <v>(武汉电气化局成达万高铁强电项目-渠县)四川省达州市渠县渠北镇雷家湾渠县北站旁</v>
      </c>
      <c r="J2149" s="120" t="str">
        <f>VLOOKUP(B2149,辅助信息!E:I,4,FALSE)</f>
        <v>刘频</v>
      </c>
      <c r="K2149" s="120">
        <f>VLOOKUP(J2149,辅助信息!H:I,2,FALSE)</f>
        <v>18779627939</v>
      </c>
      <c r="L2149" s="122" t="str">
        <f>VLOOKUP(B2149,辅助信息!E:J,6,FALSE)</f>
        <v>锈货不收！！下雨天钢筋没盖篷布不收！！，装货前联系收货人核实到场规格,没提前告知进场规格现场不给予接收</v>
      </c>
      <c r="M2149" s="91">
        <v>45845</v>
      </c>
      <c r="O2149" s="62">
        <f ca="1" t="shared" si="147"/>
        <v>0</v>
      </c>
      <c r="P2149" s="62">
        <f ca="1" t="shared" si="148"/>
        <v>115</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0" t="s">
        <v>188</v>
      </c>
      <c r="C2150" s="70">
        <v>45847</v>
      </c>
      <c r="D2150" s="120" t="str">
        <f>VLOOKUP(B2150,辅助信息!E:K,7,FALSE)</f>
        <v>JWDDCD2025062200016</v>
      </c>
      <c r="E2150" s="120" t="str">
        <f>VLOOKUP(F2150,辅助信息!A:B,2,FALSE)</f>
        <v>螺纹钢</v>
      </c>
      <c r="F2150" s="120" t="s">
        <v>18</v>
      </c>
      <c r="G2150" s="121">
        <v>6</v>
      </c>
      <c r="H2150" s="134" t="str">
        <f>_xlfn.XLOOKUP(C2150&amp;F2150&amp;I2150&amp;J2150,'[1]2025年已发货'!$F:$F&amp;'[1]2025年已发货'!$C:$C&amp;'[1]2025年已发货'!$G:$G&amp;'[1]2025年已发货'!$H:$H,'[1]2025年已发货'!$E:$E,"未发货")</f>
        <v>未发货</v>
      </c>
      <c r="I2150" s="120" t="str">
        <f>VLOOKUP(B2150,辅助信息!E:I,3,FALSE)</f>
        <v>(武汉电气化局成达万高铁强电项目-达州主城区)四川省达州市达川区斌郎街道四川省达州市达川区洞洞湾256米</v>
      </c>
      <c r="J2150" s="120" t="str">
        <f>VLOOKUP(B2150,辅助信息!E:I,4,FALSE)</f>
        <v>余凡</v>
      </c>
      <c r="K2150" s="120">
        <f>VLOOKUP(J2150,辅助信息!H:I,2,FALSE)</f>
        <v>18228076992</v>
      </c>
      <c r="L2150" s="122" t="str">
        <f>VLOOKUP(B2150,辅助信息!E:J,6,FALSE)</f>
        <v>锈货不收！！下雨天钢筋没盖篷布不收！！，装货前联系收货人核实到场规格,没提前告知进场规格现场不给予接收</v>
      </c>
      <c r="M2150" s="91">
        <v>45845</v>
      </c>
      <c r="O2150" s="62">
        <f ca="1" t="shared" si="147"/>
        <v>0</v>
      </c>
      <c r="P2150" s="62">
        <f ca="1" t="shared" si="148"/>
        <v>115</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0" t="s">
        <v>147</v>
      </c>
      <c r="C2151" s="70">
        <v>45847</v>
      </c>
      <c r="D2151" s="120" t="str">
        <f>VLOOKUP(B2151,辅助信息!E:K,7,FALSE)</f>
        <v>JWDDCD2025052800131</v>
      </c>
      <c r="E2151" s="120" t="str">
        <f>VLOOKUP(F2151,辅助信息!A:B,2,FALSE)</f>
        <v>螺纹钢</v>
      </c>
      <c r="F2151" s="120" t="s">
        <v>21</v>
      </c>
      <c r="G2151" s="121">
        <v>6</v>
      </c>
      <c r="H2151" s="134" t="str">
        <f>_xlfn.XLOOKUP(C2151&amp;F2151&amp;I2151&amp;J2151,'[1]2025年已发货'!$F:$F&amp;'[1]2025年已发货'!$C:$C&amp;'[1]2025年已发货'!$G:$G&amp;'[1]2025年已发货'!$H:$H,'[1]2025年已发货'!$E:$E,"未发货")</f>
        <v>未发货</v>
      </c>
      <c r="I2151" s="120" t="str">
        <f>VLOOKUP(B2151,辅助信息!E:I,3,FALSE)</f>
        <v>（商投建工达州中医药科技园-4工区-11号楼）达州市通川区达州中医药职业学院犀牛大道北段</v>
      </c>
      <c r="J2151" s="120" t="str">
        <f>VLOOKUP(B2151,辅助信息!E:I,4,FALSE)</f>
        <v>张扬</v>
      </c>
      <c r="K2151" s="120">
        <f>VLOOKUP(J2151,辅助信息!H:I,2,FALSE)</f>
        <v>18381904567</v>
      </c>
      <c r="L2151" s="122" t="str">
        <f>VLOOKUP(B2151,辅助信息!E:J,6,FALSE)</f>
        <v>控制炉批号！多了现场不收！,优先安排达钢,提前联系到场规格及数量</v>
      </c>
      <c r="M2151" s="91">
        <v>45845</v>
      </c>
      <c r="O2151" s="62">
        <f ca="1" t="shared" si="147"/>
        <v>0</v>
      </c>
      <c r="P2151" s="62">
        <f ca="1" t="shared" si="148"/>
        <v>115</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0" t="s">
        <v>147</v>
      </c>
      <c r="C2152" s="70">
        <v>45847</v>
      </c>
      <c r="D2152" s="120" t="str">
        <f>VLOOKUP(B2152,辅助信息!E:K,7,FALSE)</f>
        <v>JWDDCD2025052800131</v>
      </c>
      <c r="E2152" s="120" t="str">
        <f>VLOOKUP(F2152,辅助信息!A:B,2,FALSE)</f>
        <v>螺纹钢</v>
      </c>
      <c r="F2152" s="120" t="s">
        <v>58</v>
      </c>
      <c r="G2152" s="121">
        <v>6</v>
      </c>
      <c r="H2152" s="134" t="str">
        <f>_xlfn.XLOOKUP(C2152&amp;F2152&amp;I2152&amp;J2152,'[1]2025年已发货'!$F:$F&amp;'[1]2025年已发货'!$C:$C&amp;'[1]2025年已发货'!$G:$G&amp;'[1]2025年已发货'!$H:$H,'[1]2025年已发货'!$E:$E,"未发货")</f>
        <v>未发货</v>
      </c>
      <c r="I2152" s="120" t="str">
        <f>VLOOKUP(B2152,辅助信息!E:I,3,FALSE)</f>
        <v>（商投建工达州中医药科技园-4工区-11号楼）达州市通川区达州中医药职业学院犀牛大道北段</v>
      </c>
      <c r="J2152" s="120" t="str">
        <f>VLOOKUP(B2152,辅助信息!E:I,4,FALSE)</f>
        <v>张扬</v>
      </c>
      <c r="K2152" s="120">
        <f>VLOOKUP(J2152,辅助信息!H:I,2,FALSE)</f>
        <v>18381904567</v>
      </c>
      <c r="L2152" s="122" t="str">
        <f>VLOOKUP(B2152,辅助信息!E:J,6,FALSE)</f>
        <v>控制炉批号！多了现场不收！,优先安排达钢,提前联系到场规格及数量</v>
      </c>
      <c r="M2152" s="91">
        <v>45845</v>
      </c>
      <c r="O2152" s="62">
        <f ca="1" t="shared" si="147"/>
        <v>0</v>
      </c>
      <c r="P2152" s="62">
        <f ca="1" t="shared" si="148"/>
        <v>115</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0" t="s">
        <v>147</v>
      </c>
      <c r="C2153" s="70">
        <v>45847</v>
      </c>
      <c r="D2153" s="120" t="str">
        <f>VLOOKUP(B2153,辅助信息!E:K,7,FALSE)</f>
        <v>JWDDCD2025052800131</v>
      </c>
      <c r="E2153" s="120" t="str">
        <f>VLOOKUP(F2153,辅助信息!A:B,2,FALSE)</f>
        <v>螺纹钢</v>
      </c>
      <c r="F2153" s="120" t="s">
        <v>46</v>
      </c>
      <c r="G2153" s="121">
        <v>15</v>
      </c>
      <c r="H2153" s="134" t="str">
        <f>_xlfn.XLOOKUP(C2153&amp;F2153&amp;I2153&amp;J2153,'[1]2025年已发货'!$F:$F&amp;'[1]2025年已发货'!$C:$C&amp;'[1]2025年已发货'!$G:$G&amp;'[1]2025年已发货'!$H:$H,'[1]2025年已发货'!$E:$E,"未发货")</f>
        <v>未发货</v>
      </c>
      <c r="I2153" s="120" t="str">
        <f>VLOOKUP(B2153,辅助信息!E:I,3,FALSE)</f>
        <v>（商投建工达州中医药科技园-4工区-11号楼）达州市通川区达州中医药职业学院犀牛大道北段</v>
      </c>
      <c r="J2153" s="120" t="str">
        <f>VLOOKUP(B2153,辅助信息!E:I,4,FALSE)</f>
        <v>张扬</v>
      </c>
      <c r="K2153" s="120">
        <f>VLOOKUP(J2153,辅助信息!H:I,2,FALSE)</f>
        <v>18381904567</v>
      </c>
      <c r="L2153" s="122" t="str">
        <f>VLOOKUP(B2153,辅助信息!E:J,6,FALSE)</f>
        <v>控制炉批号！多了现场不收！,优先安排达钢,提前联系到场规格及数量</v>
      </c>
      <c r="M2153" s="91">
        <v>45845</v>
      </c>
      <c r="O2153" s="62">
        <f ca="1" t="shared" si="147"/>
        <v>0</v>
      </c>
      <c r="P2153" s="62">
        <f ca="1" t="shared" si="148"/>
        <v>115</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0" t="s">
        <v>147</v>
      </c>
      <c r="C2154" s="70">
        <v>45847</v>
      </c>
      <c r="D2154" s="120" t="str">
        <f>VLOOKUP(B2154,辅助信息!E:K,7,FALSE)</f>
        <v>JWDDCD2025052800131</v>
      </c>
      <c r="E2154" s="120" t="str">
        <f>VLOOKUP(F2154,辅助信息!A:B,2,FALSE)</f>
        <v>螺纹钢</v>
      </c>
      <c r="F2154" s="120" t="s">
        <v>22</v>
      </c>
      <c r="G2154" s="121">
        <v>9</v>
      </c>
      <c r="H2154" s="134" t="str">
        <f>_xlfn.XLOOKUP(C2154&amp;F2154&amp;I2154&amp;J2154,'[1]2025年已发货'!$F:$F&amp;'[1]2025年已发货'!$C:$C&amp;'[1]2025年已发货'!$G:$G&amp;'[1]2025年已发货'!$H:$H,'[1]2025年已发货'!$E:$E,"未发货")</f>
        <v>未发货</v>
      </c>
      <c r="I2154" s="120" t="str">
        <f>VLOOKUP(B2154,辅助信息!E:I,3,FALSE)</f>
        <v>（商投建工达州中医药科技园-4工区-11号楼）达州市通川区达州中医药职业学院犀牛大道北段</v>
      </c>
      <c r="J2154" s="120" t="str">
        <f>VLOOKUP(B2154,辅助信息!E:I,4,FALSE)</f>
        <v>张扬</v>
      </c>
      <c r="K2154" s="120">
        <f>VLOOKUP(J2154,辅助信息!H:I,2,FALSE)</f>
        <v>18381904567</v>
      </c>
      <c r="L2154" s="122" t="str">
        <f>VLOOKUP(B2154,辅助信息!E:J,6,FALSE)</f>
        <v>控制炉批号！多了现场不收！,优先安排达钢,提前联系到场规格及数量</v>
      </c>
      <c r="M2154" s="91">
        <v>45845</v>
      </c>
      <c r="O2154" s="62">
        <f ca="1" t="shared" si="147"/>
        <v>0</v>
      </c>
      <c r="P2154" s="62">
        <f ca="1" t="shared" si="148"/>
        <v>115</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0" t="s">
        <v>159</v>
      </c>
      <c r="C2155" s="70">
        <v>45847</v>
      </c>
      <c r="D2155" s="120" t="str">
        <f>VLOOKUP(B2155,辅助信息!E:K,7,FALSE)</f>
        <v>JWDDCD2025052800131</v>
      </c>
      <c r="E2155" s="120" t="str">
        <f>VLOOKUP(F2155,辅助信息!A:B,2,FALSE)</f>
        <v>螺纹钢</v>
      </c>
      <c r="F2155" s="120" t="s">
        <v>66</v>
      </c>
      <c r="G2155" s="121">
        <v>6</v>
      </c>
      <c r="H2155" s="134" t="str">
        <f>_xlfn.XLOOKUP(C2155&amp;F2155&amp;I2155&amp;J2155,'[1]2025年已发货'!$F:$F&amp;'[1]2025年已发货'!$C:$C&amp;'[1]2025年已发货'!$G:$G&amp;'[1]2025年已发货'!$H:$H,'[1]2025年已发货'!$E:$E,"未发货")</f>
        <v>未发货</v>
      </c>
      <c r="I2155" s="120" t="str">
        <f>VLOOKUP(B2155,辅助信息!E:I,3,FALSE)</f>
        <v>（商投建工达州中医药科技园-3工区）达州市通川区达州中医药职业学院犀牛大道北段</v>
      </c>
      <c r="J2155" s="120" t="str">
        <f>VLOOKUP(B2155,辅助信息!E:I,4,FALSE)</f>
        <v>程黄刚</v>
      </c>
      <c r="K2155" s="120">
        <f>VLOOKUP(J2155,辅助信息!H:I,2,FALSE)</f>
        <v>15108211617</v>
      </c>
      <c r="L2155" s="122" t="str">
        <f>VLOOKUP(B2155,辅助信息!E:J,6,FALSE)</f>
        <v>控制炉批号！多了现场不收！,优先安排达钢,提前联系到场规格及数量</v>
      </c>
      <c r="M2155" s="91">
        <v>45845</v>
      </c>
      <c r="O2155" s="62">
        <f ca="1" t="shared" si="147"/>
        <v>0</v>
      </c>
      <c r="P2155" s="62">
        <f ca="1" t="shared" si="148"/>
        <v>115</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0" t="s">
        <v>159</v>
      </c>
      <c r="C2156" s="70">
        <v>45847</v>
      </c>
      <c r="D2156" s="120" t="str">
        <f>VLOOKUP(B2156,辅助信息!E:K,7,FALSE)</f>
        <v>JWDDCD2025052800131</v>
      </c>
      <c r="E2156" s="120" t="str">
        <f>VLOOKUP(F2156,辅助信息!A:B,2,FALSE)</f>
        <v>螺纹钢</v>
      </c>
      <c r="F2156" s="120" t="s">
        <v>45</v>
      </c>
      <c r="G2156" s="121">
        <v>6</v>
      </c>
      <c r="H2156" s="134" t="str">
        <f>_xlfn.XLOOKUP(C2156&amp;F2156&amp;I2156&amp;J2156,'[1]2025年已发货'!$F:$F&amp;'[1]2025年已发货'!$C:$C&amp;'[1]2025年已发货'!$G:$G&amp;'[1]2025年已发货'!$H:$H,'[1]2025年已发货'!$E:$E,"未发货")</f>
        <v>未发货</v>
      </c>
      <c r="I2156" s="120" t="str">
        <f>VLOOKUP(B2156,辅助信息!E:I,3,FALSE)</f>
        <v>（商投建工达州中医药科技园-3工区）达州市通川区达州中医药职业学院犀牛大道北段</v>
      </c>
      <c r="J2156" s="120" t="str">
        <f>VLOOKUP(B2156,辅助信息!E:I,4,FALSE)</f>
        <v>程黄刚</v>
      </c>
      <c r="K2156" s="120">
        <f>VLOOKUP(J2156,辅助信息!H:I,2,FALSE)</f>
        <v>15108211617</v>
      </c>
      <c r="L2156" s="122" t="str">
        <f>VLOOKUP(B2156,辅助信息!E:J,6,FALSE)</f>
        <v>控制炉批号！多了现场不收！,优先安排达钢,提前联系到场规格及数量</v>
      </c>
      <c r="M2156" s="91">
        <v>45845</v>
      </c>
      <c r="O2156" s="62">
        <f ca="1" t="shared" si="147"/>
        <v>0</v>
      </c>
      <c r="P2156" s="62">
        <f ca="1" t="shared" si="148"/>
        <v>115</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0" t="s">
        <v>159</v>
      </c>
      <c r="C2157" s="70">
        <v>45847</v>
      </c>
      <c r="D2157" s="120" t="str">
        <f>VLOOKUP(B2157,辅助信息!E:K,7,FALSE)</f>
        <v>JWDDCD2025052800131</v>
      </c>
      <c r="E2157" s="120" t="str">
        <f>VLOOKUP(F2157,辅助信息!A:B,2,FALSE)</f>
        <v>螺纹钢</v>
      </c>
      <c r="F2157" s="120" t="s">
        <v>21</v>
      </c>
      <c r="G2157" s="121">
        <v>6</v>
      </c>
      <c r="H2157" s="134" t="str">
        <f>_xlfn.XLOOKUP(C2157&amp;F2157&amp;I2157&amp;J2157,'[1]2025年已发货'!$F:$F&amp;'[1]2025年已发货'!$C:$C&amp;'[1]2025年已发货'!$G:$G&amp;'[1]2025年已发货'!$H:$H,'[1]2025年已发货'!$E:$E,"未发货")</f>
        <v>未发货</v>
      </c>
      <c r="I2157" s="120" t="str">
        <f>VLOOKUP(B2157,辅助信息!E:I,3,FALSE)</f>
        <v>（商投建工达州中医药科技园-3工区）达州市通川区达州中医药职业学院犀牛大道北段</v>
      </c>
      <c r="J2157" s="120" t="str">
        <f>VLOOKUP(B2157,辅助信息!E:I,4,FALSE)</f>
        <v>程黄刚</v>
      </c>
      <c r="K2157" s="120">
        <f>VLOOKUP(J2157,辅助信息!H:I,2,FALSE)</f>
        <v>15108211617</v>
      </c>
      <c r="L2157" s="122" t="str">
        <f>VLOOKUP(B2157,辅助信息!E:J,6,FALSE)</f>
        <v>控制炉批号！多了现场不收！,优先安排达钢,提前联系到场规格及数量</v>
      </c>
      <c r="M2157" s="91">
        <v>45845</v>
      </c>
      <c r="O2157" s="62">
        <f ca="1" t="shared" si="147"/>
        <v>0</v>
      </c>
      <c r="P2157" s="62">
        <f ca="1" t="shared" si="148"/>
        <v>115</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0" t="s">
        <v>159</v>
      </c>
      <c r="C2158" s="70">
        <v>45847</v>
      </c>
      <c r="D2158" s="120" t="str">
        <f>VLOOKUP(B2158,辅助信息!E:K,7,FALSE)</f>
        <v>JWDDCD2025052800131</v>
      </c>
      <c r="E2158" s="120" t="str">
        <f>VLOOKUP(F2158,辅助信息!A:B,2,FALSE)</f>
        <v>螺纹钢</v>
      </c>
      <c r="F2158" s="120" t="s">
        <v>46</v>
      </c>
      <c r="G2158" s="121">
        <v>12</v>
      </c>
      <c r="H2158" s="134" t="str">
        <f>_xlfn.XLOOKUP(C2158&amp;F2158&amp;I2158&amp;J2158,'[1]2025年已发货'!$F:$F&amp;'[1]2025年已发货'!$C:$C&amp;'[1]2025年已发货'!$G:$G&amp;'[1]2025年已发货'!$H:$H,'[1]2025年已发货'!$E:$E,"未发货")</f>
        <v>未发货</v>
      </c>
      <c r="I2158" s="120" t="str">
        <f>VLOOKUP(B2158,辅助信息!E:I,3,FALSE)</f>
        <v>（商投建工达州中医药科技园-3工区）达州市通川区达州中医药职业学院犀牛大道北段</v>
      </c>
      <c r="J2158" s="120" t="str">
        <f>VLOOKUP(B2158,辅助信息!E:I,4,FALSE)</f>
        <v>程黄刚</v>
      </c>
      <c r="K2158" s="120">
        <f>VLOOKUP(J2158,辅助信息!H:I,2,FALSE)</f>
        <v>15108211617</v>
      </c>
      <c r="L2158" s="122" t="str">
        <f>VLOOKUP(B2158,辅助信息!E:J,6,FALSE)</f>
        <v>控制炉批号！多了现场不收！,优先安排达钢,提前联系到场规格及数量</v>
      </c>
      <c r="M2158" s="91">
        <v>45845</v>
      </c>
      <c r="O2158" s="62">
        <f ca="1" t="shared" si="147"/>
        <v>0</v>
      </c>
      <c r="P2158" s="62">
        <f ca="1" t="shared" si="148"/>
        <v>115</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0" t="s">
        <v>156</v>
      </c>
      <c r="C2159" s="70">
        <v>45847</v>
      </c>
      <c r="D2159" s="120" t="e">
        <f>VLOOKUP(B2159,辅助信息!E:K,7,FALSE)</f>
        <v>#N/A</v>
      </c>
      <c r="E2159" s="120" t="str">
        <f>VLOOKUP(F2159,辅助信息!A:B,2,FALSE)</f>
        <v>盘螺</v>
      </c>
      <c r="F2159" s="120" t="s">
        <v>40</v>
      </c>
      <c r="G2159" s="121">
        <v>3</v>
      </c>
      <c r="H2159" s="134" t="e">
        <f>_xlfn.XLOOKUP(C2159&amp;F2159&amp;I2159&amp;J2159,'[1]2025年已发货'!$F:$F&amp;'[1]2025年已发货'!$C:$C&amp;'[1]2025年已发货'!$G:$G&amp;'[1]2025年已发货'!$H:$H,'[1]2025年已发货'!$E:$E,"未发货")</f>
        <v>#N/A</v>
      </c>
      <c r="I2159" s="120" t="e">
        <f>VLOOKUP(B2159,辅助信息!E:I,3,FALSE)</f>
        <v>#N/A</v>
      </c>
      <c r="J2159" s="120" t="e">
        <f>VLOOKUP(B2159,辅助信息!E:I,4,FALSE)</f>
        <v>#N/A</v>
      </c>
      <c r="K2159" s="120" t="e">
        <f>VLOOKUP(J2159,辅助信息!H:I,2,FALSE)</f>
        <v>#N/A</v>
      </c>
      <c r="L2159" s="122" t="e">
        <f>VLOOKUP(B2159,辅助信息!E:J,6,FALSE)</f>
        <v>#N/A</v>
      </c>
      <c r="M2159" s="91">
        <v>45845</v>
      </c>
      <c r="O2159" s="62">
        <f ca="1" t="shared" si="147"/>
        <v>0</v>
      </c>
      <c r="P2159" s="62">
        <f ca="1" t="shared" si="148"/>
        <v>115</v>
      </c>
      <c r="Q2159" s="29" t="e">
        <f>VLOOKUP(B2159,辅助信息!E:M,9,FALSE)</f>
        <v>#N/A</v>
      </c>
      <c r="R2159" s="29" vm="1" t="e">
        <f>_xlfn._xlws.FILTER(辅助信息!D:D,辅助信息!E:E=B2159)</f>
        <v>#VALUE!</v>
      </c>
    </row>
    <row r="2160" hidden="1" spans="2:18">
      <c r="B2160" s="120" t="s">
        <v>156</v>
      </c>
      <c r="C2160" s="70">
        <v>45847</v>
      </c>
      <c r="D2160" s="120" t="e">
        <f>VLOOKUP(B2160,辅助信息!E:K,7,FALSE)</f>
        <v>#N/A</v>
      </c>
      <c r="E2160" s="120" t="str">
        <f>VLOOKUP(F2160,辅助信息!A:B,2,FALSE)</f>
        <v>螺纹钢</v>
      </c>
      <c r="F2160" s="120" t="s">
        <v>19</v>
      </c>
      <c r="G2160" s="121">
        <v>16</v>
      </c>
      <c r="H2160" s="134" t="e">
        <f>_xlfn.XLOOKUP(C2160&amp;F2160&amp;I2160&amp;J2160,'[1]2025年已发货'!$F:$F&amp;'[1]2025年已发货'!$C:$C&amp;'[1]2025年已发货'!$G:$G&amp;'[1]2025年已发货'!$H:$H,'[1]2025年已发货'!$E:$E,"未发货")</f>
        <v>#N/A</v>
      </c>
      <c r="I2160" s="120" t="e">
        <f>VLOOKUP(B2160,辅助信息!E:I,3,FALSE)</f>
        <v>#N/A</v>
      </c>
      <c r="J2160" s="120" t="e">
        <f>VLOOKUP(B2160,辅助信息!E:I,4,FALSE)</f>
        <v>#N/A</v>
      </c>
      <c r="K2160" s="120" t="e">
        <f>VLOOKUP(J2160,辅助信息!H:I,2,FALSE)</f>
        <v>#N/A</v>
      </c>
      <c r="L2160" s="122" t="e">
        <f>VLOOKUP(B2160,辅助信息!E:J,6,FALSE)</f>
        <v>#N/A</v>
      </c>
      <c r="M2160" s="91">
        <v>45845</v>
      </c>
      <c r="O2160" s="62">
        <f ca="1" t="shared" si="147"/>
        <v>0</v>
      </c>
      <c r="P2160" s="62">
        <f ca="1" t="shared" si="148"/>
        <v>115</v>
      </c>
      <c r="Q2160" s="29" t="e">
        <f>VLOOKUP(B2160,辅助信息!E:M,9,FALSE)</f>
        <v>#N/A</v>
      </c>
      <c r="R2160" s="29" vm="1" t="e">
        <f>_xlfn._xlws.FILTER(辅助信息!D:D,辅助信息!E:E=B2160)</f>
        <v>#VALUE!</v>
      </c>
    </row>
    <row r="2161" hidden="1" spans="2:18">
      <c r="B2161" s="120" t="s">
        <v>156</v>
      </c>
      <c r="C2161" s="70">
        <v>45847</v>
      </c>
      <c r="D2161" s="120" t="e">
        <f>VLOOKUP(B2161,辅助信息!E:K,7,FALSE)</f>
        <v>#N/A</v>
      </c>
      <c r="E2161" s="120" t="str">
        <f>VLOOKUP(F2161,辅助信息!A:B,2,FALSE)</f>
        <v>螺纹钢</v>
      </c>
      <c r="F2161" s="120" t="s">
        <v>30</v>
      </c>
      <c r="G2161" s="121">
        <v>24</v>
      </c>
      <c r="H2161" s="134" t="e">
        <f>_xlfn.XLOOKUP(C2161&amp;F2161&amp;I2161&amp;J2161,'[1]2025年已发货'!$F:$F&amp;'[1]2025年已发货'!$C:$C&amp;'[1]2025年已发货'!$G:$G&amp;'[1]2025年已发货'!$H:$H,'[1]2025年已发货'!$E:$E,"未发货")</f>
        <v>#N/A</v>
      </c>
      <c r="I2161" s="120" t="e">
        <f>VLOOKUP(B2161,辅助信息!E:I,3,FALSE)</f>
        <v>#N/A</v>
      </c>
      <c r="J2161" s="120" t="e">
        <f>VLOOKUP(B2161,辅助信息!E:I,4,FALSE)</f>
        <v>#N/A</v>
      </c>
      <c r="K2161" s="120" t="e">
        <f>VLOOKUP(J2161,辅助信息!H:I,2,FALSE)</f>
        <v>#N/A</v>
      </c>
      <c r="L2161" s="122" t="e">
        <f>VLOOKUP(B2161,辅助信息!E:J,6,FALSE)</f>
        <v>#N/A</v>
      </c>
      <c r="M2161" s="91">
        <v>45845</v>
      </c>
      <c r="O2161" s="62">
        <f ca="1" t="shared" si="147"/>
        <v>0</v>
      </c>
      <c r="P2161" s="62">
        <f ca="1" t="shared" si="148"/>
        <v>115</v>
      </c>
      <c r="Q2161" s="29" t="e">
        <f>VLOOKUP(B2161,辅助信息!E:M,9,FALSE)</f>
        <v>#N/A</v>
      </c>
      <c r="R2161" s="29" vm="1" t="e">
        <f>_xlfn._xlws.FILTER(辅助信息!D:D,辅助信息!E:E=B2161)</f>
        <v>#VALUE!</v>
      </c>
    </row>
    <row r="2162" hidden="1" spans="1:18">
      <c r="A2162" s="128" t="s">
        <v>189</v>
      </c>
      <c r="B2162" s="131" t="s">
        <v>180</v>
      </c>
      <c r="C2162" s="70">
        <v>45847</v>
      </c>
      <c r="D2162" s="120" t="str">
        <f>VLOOKUP(B2162,辅助信息!E:K,7,FALSE)</f>
        <v>JWDDCD2025052800131</v>
      </c>
      <c r="E2162" s="120" t="str">
        <f>VLOOKUP(F2162,辅助信息!A:B,2,FALSE)</f>
        <v>盘螺</v>
      </c>
      <c r="F2162" s="120" t="s">
        <v>49</v>
      </c>
      <c r="G2162" s="121">
        <v>6</v>
      </c>
      <c r="H2162" s="134">
        <f>_xlfn.XLOOKUP(C2162&amp;F2162&amp;I2162&amp;J2162,'[1]2025年已发货'!$F:$F&amp;'[1]2025年已发货'!$C:$C&amp;'[1]2025年已发货'!$G:$G&amp;'[1]2025年已发货'!$H:$H,'[1]2025年已发货'!$E:$E,"未发货")</f>
        <v>6</v>
      </c>
      <c r="I2162" s="120" t="str">
        <f>VLOOKUP(B2162,辅助信息!E:I,3,FALSE)</f>
        <v>（商投建工达州中医药科技园-4工区-8号楼）达州市通川区达州中医药职业学院犀牛大道北段</v>
      </c>
      <c r="J2162" s="120" t="str">
        <f>VLOOKUP(B2162,辅助信息!E:I,4,FALSE)</f>
        <v>张扬</v>
      </c>
      <c r="K2162" s="120">
        <f>VLOOKUP(J2162,辅助信息!H:I,2,FALSE)</f>
        <v>18381904567</v>
      </c>
      <c r="L2162" s="122" t="str">
        <f>VLOOKUP(B2162,辅助信息!E:J,6,FALSE)</f>
        <v>控制炉批号！多了现场不收！,优先安排达钢,提前联系到场规格及数量</v>
      </c>
      <c r="M2162" s="91">
        <v>45845</v>
      </c>
      <c r="O2162" s="62">
        <f ca="1" t="shared" si="147"/>
        <v>0</v>
      </c>
      <c r="P2162" s="62">
        <f ca="1" t="shared" si="148"/>
        <v>115</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8"/>
      <c r="B2163" s="131" t="s">
        <v>180</v>
      </c>
      <c r="C2163" s="70">
        <v>45847</v>
      </c>
      <c r="D2163" s="120" t="str">
        <f>VLOOKUP(B2163,辅助信息!E:K,7,FALSE)</f>
        <v>JWDDCD2025052800131</v>
      </c>
      <c r="E2163" s="120" t="str">
        <f>VLOOKUP(F2163,辅助信息!A:B,2,FALSE)</f>
        <v>盘螺</v>
      </c>
      <c r="F2163" s="120" t="s">
        <v>40</v>
      </c>
      <c r="G2163" s="121">
        <v>21</v>
      </c>
      <c r="H2163" s="134">
        <f>_xlfn.XLOOKUP(C2163&amp;F2163&amp;I2163&amp;J2163,'[1]2025年已发货'!$F:$F&amp;'[1]2025年已发货'!$C:$C&amp;'[1]2025年已发货'!$G:$G&amp;'[1]2025年已发货'!$H:$H,'[1]2025年已发货'!$E:$E,"未发货")</f>
        <v>21</v>
      </c>
      <c r="I2163" s="120" t="str">
        <f>VLOOKUP(B2163,辅助信息!E:I,3,FALSE)</f>
        <v>（商投建工达州中医药科技园-4工区-8号楼）达州市通川区达州中医药职业学院犀牛大道北段</v>
      </c>
      <c r="J2163" s="120" t="str">
        <f>VLOOKUP(B2163,辅助信息!E:I,4,FALSE)</f>
        <v>张扬</v>
      </c>
      <c r="K2163" s="120">
        <f>VLOOKUP(J2163,辅助信息!H:I,2,FALSE)</f>
        <v>18381904567</v>
      </c>
      <c r="L2163" s="122" t="str">
        <f>VLOOKUP(B2163,辅助信息!E:J,6,FALSE)</f>
        <v>控制炉批号！多了现场不收！,优先安排达钢,提前联系到场规格及数量</v>
      </c>
      <c r="M2163" s="91">
        <v>45845</v>
      </c>
      <c r="O2163" s="62">
        <f ca="1" t="shared" si="147"/>
        <v>0</v>
      </c>
      <c r="P2163" s="62">
        <f ca="1" t="shared" si="148"/>
        <v>115</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8"/>
      <c r="B2164" s="131" t="s">
        <v>180</v>
      </c>
      <c r="C2164" s="70">
        <v>45847</v>
      </c>
      <c r="D2164" s="120" t="str">
        <f>VLOOKUP(B2164,辅助信息!E:K,7,FALSE)</f>
        <v>JWDDCD2025052800131</v>
      </c>
      <c r="E2164" s="120" t="str">
        <f>VLOOKUP(F2164,辅助信息!A:B,2,FALSE)</f>
        <v>盘螺</v>
      </c>
      <c r="F2164" s="120" t="s">
        <v>41</v>
      </c>
      <c r="G2164" s="121">
        <v>15</v>
      </c>
      <c r="H2164" s="134">
        <f>_xlfn.XLOOKUP(C2164&amp;F2164&amp;I2164&amp;J2164,'[1]2025年已发货'!$F:$F&amp;'[1]2025年已发货'!$C:$C&amp;'[1]2025年已发货'!$G:$G&amp;'[1]2025年已发货'!$H:$H,'[1]2025年已发货'!$E:$E,"未发货")</f>
        <v>15</v>
      </c>
      <c r="I2164" s="120" t="str">
        <f>VLOOKUP(B2164,辅助信息!E:I,3,FALSE)</f>
        <v>（商投建工达州中医药科技园-4工区-8号楼）达州市通川区达州中医药职业学院犀牛大道北段</v>
      </c>
      <c r="J2164" s="120" t="str">
        <f>VLOOKUP(B2164,辅助信息!E:I,4,FALSE)</f>
        <v>张扬</v>
      </c>
      <c r="K2164" s="120">
        <f>VLOOKUP(J2164,辅助信息!H:I,2,FALSE)</f>
        <v>18381904567</v>
      </c>
      <c r="L2164" s="122" t="str">
        <f>VLOOKUP(B2164,辅助信息!E:J,6,FALSE)</f>
        <v>控制炉批号！多了现场不收！,优先安排达钢,提前联系到场规格及数量</v>
      </c>
      <c r="M2164" s="91">
        <v>45845</v>
      </c>
      <c r="O2164" s="62">
        <f ca="1" t="shared" si="147"/>
        <v>0</v>
      </c>
      <c r="P2164" s="62">
        <f ca="1" t="shared" si="148"/>
        <v>115</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8"/>
      <c r="B2165" s="131" t="s">
        <v>69</v>
      </c>
      <c r="C2165" s="70">
        <v>45847</v>
      </c>
      <c r="D2165" s="120" t="str">
        <f>VLOOKUP(B2165,辅助信息!E:K,7,FALSE)</f>
        <v>JWDDCD2025052800131</v>
      </c>
      <c r="E2165" s="120" t="str">
        <f>VLOOKUP(F2165,辅助信息!A:B,2,FALSE)</f>
        <v>螺纹钢</v>
      </c>
      <c r="F2165" s="120" t="s">
        <v>19</v>
      </c>
      <c r="G2165" s="121">
        <v>3</v>
      </c>
      <c r="H2165" s="134">
        <f>_xlfn.XLOOKUP(C2165&amp;F2165&amp;I2165&amp;J2165,'[1]2025年已发货'!$F:$F&amp;'[1]2025年已发货'!$C:$C&amp;'[1]2025年已发货'!$G:$G&amp;'[1]2025年已发货'!$H:$H,'[1]2025年已发货'!$E:$E,"未发货")</f>
        <v>3</v>
      </c>
      <c r="I2165" s="120" t="str">
        <f>VLOOKUP(B2165,辅助信息!E:I,3,FALSE)</f>
        <v>（商投建工达州中医药科技园-4工区-2号楼）达州市通川区达州中医药职业学院犀牛大道北段</v>
      </c>
      <c r="J2165" s="120" t="str">
        <f>VLOOKUP(B2165,辅助信息!E:I,4,FALSE)</f>
        <v>张扬</v>
      </c>
      <c r="K2165" s="120">
        <f>VLOOKUP(J2165,辅助信息!H:I,2,FALSE)</f>
        <v>18381904567</v>
      </c>
      <c r="L2165" s="122" t="str">
        <f>VLOOKUP(B2165,辅助信息!E:J,6,FALSE)</f>
        <v>控制炉批号！多了现场不收！,优先安排达钢,提前联系到场规格及数量</v>
      </c>
      <c r="M2165" s="91">
        <v>45845</v>
      </c>
      <c r="O2165" s="62">
        <f ca="1" t="shared" si="147"/>
        <v>0</v>
      </c>
      <c r="P2165" s="62">
        <f ca="1" t="shared" si="148"/>
        <v>115</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0">
        <v>45847</v>
      </c>
      <c r="D2166" s="120" t="str">
        <f>VLOOKUP(B2166,辅助信息!E:K,7,FALSE)</f>
        <v>JWDDCD2025060900080</v>
      </c>
      <c r="E2166" s="120" t="str">
        <f>VLOOKUP(F2166,辅助信息!A:B,2,FALSE)</f>
        <v>螺纹钢</v>
      </c>
      <c r="F2166" s="40" t="s">
        <v>66</v>
      </c>
      <c r="G2166" s="36">
        <v>2.5</v>
      </c>
      <c r="H2166" s="134" t="str">
        <f>_xlfn.XLOOKUP(C2166&amp;F2166&amp;I2166&amp;J2166,'[1]2025年已发货'!$F:$F&amp;'[1]2025年已发货'!$C:$C&amp;'[1]2025年已发货'!$G:$G&amp;'[1]2025年已发货'!$H:$H,'[1]2025年已发货'!$E:$E,"未发货")</f>
        <v>未发货</v>
      </c>
      <c r="I2166" s="120" t="str">
        <f>VLOOKUP(B2166,辅助信息!E:I,3,FALSE)</f>
        <v>（华西简阳西城嘉苑）四川省成都市简阳市简城街道高屋村</v>
      </c>
      <c r="J2166" s="120" t="str">
        <f>VLOOKUP(B2166,辅助信息!E:I,4,FALSE)</f>
        <v>张瀚镭</v>
      </c>
      <c r="K2166" s="120">
        <f>VLOOKUP(J2166,辅助信息!H:I,2,FALSE)</f>
        <v>15884666220</v>
      </c>
      <c r="L2166" s="122" t="str">
        <f>VLOOKUP(B2166,辅助信息!E:J,6,FALSE)</f>
        <v>现场禁止使用氢能源挂车！优先威钢发货,我方卸车,新老国标钢厂不加价可直发，因陕钢多次出现磅差，项目拒绝使用</v>
      </c>
      <c r="M2166" s="91">
        <v>45847</v>
      </c>
      <c r="O2166" s="62">
        <f ca="1" t="shared" si="147"/>
        <v>0</v>
      </c>
      <c r="P2166" s="62">
        <f ca="1" t="shared" si="148"/>
        <v>113</v>
      </c>
      <c r="Q2166" s="29" t="str">
        <f>VLOOKUP(B2166,辅助信息!E:M,9,FALSE)</f>
        <v>ZTWM-CDGS-XS-2024-0030-华西集采-简州大道</v>
      </c>
      <c r="R2166" s="29" t="str">
        <f>_xlfn._xlws.FILTER(辅助信息!D:D,辅助信息!E:E=B2166)</f>
        <v>华西简阳西城嘉苑</v>
      </c>
    </row>
    <row r="2167" hidden="1" spans="2:18">
      <c r="B2167" s="40" t="s">
        <v>186</v>
      </c>
      <c r="C2167" s="70">
        <v>45847</v>
      </c>
      <c r="D2167" s="120" t="str">
        <f>VLOOKUP(B2167,辅助信息!E:K,7,FALSE)</f>
        <v>JWDDCD2025072900123</v>
      </c>
      <c r="E2167" s="120" t="str">
        <f>VLOOKUP(F2167,辅助信息!A:B,2,FALSE)</f>
        <v>螺纹钢</v>
      </c>
      <c r="F2167" s="40" t="s">
        <v>22</v>
      </c>
      <c r="G2167" s="36">
        <v>17</v>
      </c>
      <c r="H2167" s="134" t="str">
        <f>_xlfn.XLOOKUP(C2167&amp;F2167&amp;I2167&amp;J2167,'[1]2025年已发货'!$F:$F&amp;'[1]2025年已发货'!$C:$C&amp;'[1]2025年已发货'!$G:$G&amp;'[1]2025年已发货'!$H:$H,'[1]2025年已发货'!$E:$E,"未发货")</f>
        <v>未发货</v>
      </c>
      <c r="I2167" s="120" t="str">
        <f>VLOOKUP(B2167,辅助信息!E:I,3,FALSE)</f>
        <v>(乐山市校地共建产教融合基地建设项目二标段)四川省乐山市市中区苏稽镇</v>
      </c>
      <c r="J2167" s="120" t="str">
        <f>VLOOKUP(B2167,辅助信息!E:I,4,FALSE)</f>
        <v>彭江涛</v>
      </c>
      <c r="K2167" s="120">
        <f>VLOOKUP(J2167,辅助信息!H:I,2,FALSE)</f>
        <v>13990276572</v>
      </c>
      <c r="L2167" s="122" t="str">
        <f>VLOOKUP(B2167,辅助信息!E:J,6,FALSE)</f>
        <v>联系实际收货人（彭江涛13990276572）现场要求炉批号控制2个以下，超2个不给予签收。提前联系到场规格及数量</v>
      </c>
      <c r="M2167" s="91">
        <v>45847</v>
      </c>
      <c r="O2167" s="62">
        <f ca="1" t="shared" si="147"/>
        <v>0</v>
      </c>
      <c r="P2167" s="62">
        <f ca="1" t="shared" si="148"/>
        <v>113</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0">
        <v>45847</v>
      </c>
      <c r="D2168" s="120" t="str">
        <f>VLOOKUP(B2168,辅助信息!E:K,7,FALSE)</f>
        <v>JWDDCD2025051800046</v>
      </c>
      <c r="E2168" s="120" t="str">
        <f>VLOOKUP(F2168,辅助信息!A:B,2,FALSE)</f>
        <v>螺纹钢</v>
      </c>
      <c r="F2168" s="40" t="s">
        <v>30</v>
      </c>
      <c r="G2168" s="36">
        <v>3</v>
      </c>
      <c r="H2168" s="134">
        <f>_xlfn.XLOOKUP(C2168&amp;F2168&amp;I2168&amp;J2168,'[1]2025年已发货'!$F:$F&amp;'[1]2025年已发货'!$C:$C&amp;'[1]2025年已发货'!$G:$G&amp;'[1]2025年已发货'!$H:$H,'[1]2025年已发货'!$E:$E,"未发货")</f>
        <v>3</v>
      </c>
      <c r="I2168" s="120" t="str">
        <f>VLOOKUP(B2168,辅助信息!E:I,3,FALSE)</f>
        <v>（华西萌海科创农业生态谷）成都市简阳市白金山水库</v>
      </c>
      <c r="J2168" s="120" t="str">
        <f>VLOOKUP(B2168,辅助信息!E:I,4,FALSE)</f>
        <v>石清国</v>
      </c>
      <c r="K2168" s="120">
        <f>VLOOKUP(J2168,辅助信息!H:I,2,FALSE)</f>
        <v>13458642015</v>
      </c>
      <c r="L2168" s="122" t="str">
        <f>VLOOKUP(B2168,辅助信息!E:J,6,FALSE)</f>
        <v>优先威钢,我方卸车,新老国标钢厂不加价可直发</v>
      </c>
      <c r="M2168" s="91">
        <v>45847</v>
      </c>
      <c r="O2168" s="62">
        <f ca="1" t="shared" si="147"/>
        <v>0</v>
      </c>
      <c r="P2168" s="62">
        <f ca="1" t="shared" si="148"/>
        <v>113</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0">
        <v>45847</v>
      </c>
      <c r="D2169" s="120" t="str">
        <f>VLOOKUP(B2169,辅助信息!E:K,7,FALSE)</f>
        <v>JWDDCD2025051800046</v>
      </c>
      <c r="E2169" s="120" t="str">
        <f>VLOOKUP(F2169,辅助信息!A:B,2,FALSE)</f>
        <v>螺纹钢</v>
      </c>
      <c r="F2169" s="40" t="s">
        <v>46</v>
      </c>
      <c r="G2169" s="36">
        <v>10</v>
      </c>
      <c r="H2169" s="134">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09" t="str">
        <f>VLOOKUP(B2169,辅助信息!E:J,6,FALSE)</f>
        <v>优先威钢,我方卸车,新老国标钢厂不加价可直发</v>
      </c>
      <c r="M2169" s="91">
        <v>45847</v>
      </c>
      <c r="O2169" s="62">
        <f ca="1" t="shared" si="147"/>
        <v>0</v>
      </c>
      <c r="P2169" s="62">
        <f ca="1" t="shared" si="148"/>
        <v>113</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0">
        <v>45847</v>
      </c>
      <c r="D2170" s="120" t="str">
        <f>VLOOKUP(B2170,辅助信息!E:K,7,FALSE)</f>
        <v>JWDDCD2025051800046</v>
      </c>
      <c r="E2170" s="120" t="str">
        <f>VLOOKUP(F2170,辅助信息!A:B,2,FALSE)</f>
        <v>螺纹钢</v>
      </c>
      <c r="F2170" s="40" t="s">
        <v>22</v>
      </c>
      <c r="G2170" s="36">
        <v>27</v>
      </c>
      <c r="H2170" s="134">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09" t="str">
        <f>VLOOKUP(B2170,辅助信息!E:J,6,FALSE)</f>
        <v>优先威钢,我方卸车,新老国标钢厂不加价可直发</v>
      </c>
      <c r="M2170" s="91">
        <v>45847</v>
      </c>
      <c r="O2170" s="62">
        <f ca="1" t="shared" si="147"/>
        <v>0</v>
      </c>
      <c r="P2170" s="62">
        <f ca="1" t="shared" si="148"/>
        <v>113</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0">
        <v>45847</v>
      </c>
      <c r="D2171" s="40" t="str">
        <f>VLOOKUP(B2171,辅助信息!E:K,7,FALSE)</f>
        <v>JWDDCD2025102100473</v>
      </c>
      <c r="E2171" s="40" t="str">
        <f>VLOOKUP(F2171,辅助信息!A:B,2,FALSE)</f>
        <v>螺纹钢</v>
      </c>
      <c r="F2171" s="40" t="s">
        <v>32</v>
      </c>
      <c r="G2171" s="36">
        <v>5</v>
      </c>
      <c r="H2171" s="134">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09"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1">
        <v>45847</v>
      </c>
      <c r="O2171" s="62">
        <f ca="1" t="shared" si="147"/>
        <v>0</v>
      </c>
      <c r="P2171" s="62">
        <f ca="1" t="shared" si="148"/>
        <v>113</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0">
        <v>45847</v>
      </c>
      <c r="D2172" s="40" t="str">
        <f>VLOOKUP(B2172,辅助信息!E:K,7,FALSE)</f>
        <v>JWDDCD2025102100473</v>
      </c>
      <c r="E2172" s="40" t="str">
        <f>VLOOKUP(F2172,辅助信息!A:B,2,FALSE)</f>
        <v>螺纹钢</v>
      </c>
      <c r="F2172" s="40" t="s">
        <v>30</v>
      </c>
      <c r="G2172" s="36">
        <v>25</v>
      </c>
      <c r="H2172" s="134">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09"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1">
        <v>45847</v>
      </c>
      <c r="O2172" s="62">
        <f ca="1" t="shared" si="147"/>
        <v>0</v>
      </c>
      <c r="P2172" s="62">
        <f ca="1" t="shared" si="148"/>
        <v>113</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0">
        <v>45847</v>
      </c>
      <c r="D2173" s="40" t="str">
        <f>VLOOKUP(B2173,辅助信息!E:K,7,FALSE)</f>
        <v>JWDDCD2025102100473</v>
      </c>
      <c r="E2173" s="40" t="str">
        <f>VLOOKUP(F2173,辅助信息!A:B,2,FALSE)</f>
        <v>螺纹钢</v>
      </c>
      <c r="F2173" s="40" t="s">
        <v>33</v>
      </c>
      <c r="G2173" s="36">
        <v>5</v>
      </c>
      <c r="H2173" s="134">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09"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1">
        <v>45847</v>
      </c>
      <c r="O2173" s="62">
        <f ca="1" t="shared" si="147"/>
        <v>0</v>
      </c>
      <c r="P2173" s="62">
        <f ca="1" t="shared" si="148"/>
        <v>113</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0" t="s">
        <v>147</v>
      </c>
      <c r="C2174" s="70">
        <v>45849</v>
      </c>
      <c r="D2174" s="120" t="str">
        <f>VLOOKUP(B2174,辅助信息!E:K,7,FALSE)</f>
        <v>JWDDCD2025052800131</v>
      </c>
      <c r="E2174" s="120" t="str">
        <f>VLOOKUP(F2174,辅助信息!A:B,2,FALSE)</f>
        <v>螺纹钢</v>
      </c>
      <c r="F2174" s="120" t="s">
        <v>21</v>
      </c>
      <c r="G2174" s="121">
        <v>6</v>
      </c>
      <c r="H2174" s="134" t="str">
        <f>_xlfn.XLOOKUP(C2174&amp;F2174&amp;I2174&amp;J2174,'[1]2025年已发货'!$F:$F&amp;'[1]2025年已发货'!$C:$C&amp;'[1]2025年已发货'!$G:$G&amp;'[1]2025年已发货'!$H:$H,'[1]2025年已发货'!$E:$E,"未发货")</f>
        <v>未发货</v>
      </c>
      <c r="I2174" s="120" t="str">
        <f>VLOOKUP(B2174,辅助信息!E:I,3,FALSE)</f>
        <v>（商投建工达州中医药科技园-4工区-11号楼）达州市通川区达州中医药职业学院犀牛大道北段</v>
      </c>
      <c r="J2174" s="120" t="str">
        <f>VLOOKUP(B2174,辅助信息!E:I,4,FALSE)</f>
        <v>张扬</v>
      </c>
      <c r="K2174" s="120">
        <f>VLOOKUP(J2174,辅助信息!H:I,2,FALSE)</f>
        <v>18381904567</v>
      </c>
      <c r="L2174" s="122" t="str">
        <f>VLOOKUP(B2174,辅助信息!E:J,6,FALSE)</f>
        <v>控制炉批号！多了现场不收！,优先安排达钢,提前联系到场规格及数量</v>
      </c>
      <c r="M2174" s="91">
        <v>45845</v>
      </c>
      <c r="O2174" s="62">
        <f ca="1" t="shared" si="147"/>
        <v>0</v>
      </c>
      <c r="P2174" s="62">
        <f ca="1" t="shared" si="148"/>
        <v>115</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0" t="s">
        <v>147</v>
      </c>
      <c r="C2175" s="70">
        <v>45849</v>
      </c>
      <c r="D2175" s="120" t="str">
        <f>VLOOKUP(B2175,辅助信息!E:K,7,FALSE)</f>
        <v>JWDDCD2025052800131</v>
      </c>
      <c r="E2175" s="120" t="str">
        <f>VLOOKUP(F2175,辅助信息!A:B,2,FALSE)</f>
        <v>螺纹钢</v>
      </c>
      <c r="F2175" s="120" t="s">
        <v>58</v>
      </c>
      <c r="G2175" s="121">
        <v>6</v>
      </c>
      <c r="H2175" s="134" t="str">
        <f>_xlfn.XLOOKUP(C2175&amp;F2175&amp;I2175&amp;J2175,'[1]2025年已发货'!$F:$F&amp;'[1]2025年已发货'!$C:$C&amp;'[1]2025年已发货'!$G:$G&amp;'[1]2025年已发货'!$H:$H,'[1]2025年已发货'!$E:$E,"未发货")</f>
        <v>未发货</v>
      </c>
      <c r="I2175" s="120" t="str">
        <f>VLOOKUP(B2175,辅助信息!E:I,3,FALSE)</f>
        <v>（商投建工达州中医药科技园-4工区-11号楼）达州市通川区达州中医药职业学院犀牛大道北段</v>
      </c>
      <c r="J2175" s="120" t="str">
        <f>VLOOKUP(B2175,辅助信息!E:I,4,FALSE)</f>
        <v>张扬</v>
      </c>
      <c r="K2175" s="120">
        <f>VLOOKUP(J2175,辅助信息!H:I,2,FALSE)</f>
        <v>18381904567</v>
      </c>
      <c r="L2175" s="122" t="str">
        <f>VLOOKUP(B2175,辅助信息!E:J,6,FALSE)</f>
        <v>控制炉批号！多了现场不收！,优先安排达钢,提前联系到场规格及数量</v>
      </c>
      <c r="M2175" s="91">
        <v>45845</v>
      </c>
      <c r="O2175" s="62">
        <f ca="1" t="shared" si="147"/>
        <v>0</v>
      </c>
      <c r="P2175" s="62">
        <f ca="1" t="shared" si="148"/>
        <v>115</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0" t="s">
        <v>147</v>
      </c>
      <c r="C2176" s="70">
        <v>45849</v>
      </c>
      <c r="D2176" s="120" t="str">
        <f>VLOOKUP(B2176,辅助信息!E:K,7,FALSE)</f>
        <v>JWDDCD2025052800131</v>
      </c>
      <c r="E2176" s="120" t="str">
        <f>VLOOKUP(F2176,辅助信息!A:B,2,FALSE)</f>
        <v>螺纹钢</v>
      </c>
      <c r="F2176" s="120" t="s">
        <v>46</v>
      </c>
      <c r="G2176" s="121">
        <v>15</v>
      </c>
      <c r="H2176" s="134" t="str">
        <f>_xlfn.XLOOKUP(C2176&amp;F2176&amp;I2176&amp;J2176,'[1]2025年已发货'!$F:$F&amp;'[1]2025年已发货'!$C:$C&amp;'[1]2025年已发货'!$G:$G&amp;'[1]2025年已发货'!$H:$H,'[1]2025年已发货'!$E:$E,"未发货")</f>
        <v>未发货</v>
      </c>
      <c r="I2176" s="120" t="str">
        <f>VLOOKUP(B2176,辅助信息!E:I,3,FALSE)</f>
        <v>（商投建工达州中医药科技园-4工区-11号楼）达州市通川区达州中医药职业学院犀牛大道北段</v>
      </c>
      <c r="J2176" s="120" t="str">
        <f>VLOOKUP(B2176,辅助信息!E:I,4,FALSE)</f>
        <v>张扬</v>
      </c>
      <c r="K2176" s="120">
        <f>VLOOKUP(J2176,辅助信息!H:I,2,FALSE)</f>
        <v>18381904567</v>
      </c>
      <c r="L2176" s="122" t="str">
        <f>VLOOKUP(B2176,辅助信息!E:J,6,FALSE)</f>
        <v>控制炉批号！多了现场不收！,优先安排达钢,提前联系到场规格及数量</v>
      </c>
      <c r="M2176" s="91">
        <v>45845</v>
      </c>
      <c r="O2176" s="62">
        <f ca="1" t="shared" si="147"/>
        <v>0</v>
      </c>
      <c r="P2176" s="62">
        <f ca="1" t="shared" si="148"/>
        <v>115</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0" t="s">
        <v>147</v>
      </c>
      <c r="C2177" s="70">
        <v>45849</v>
      </c>
      <c r="D2177" s="120" t="str">
        <f>VLOOKUP(B2177,辅助信息!E:K,7,FALSE)</f>
        <v>JWDDCD2025052800131</v>
      </c>
      <c r="E2177" s="120" t="str">
        <f>VLOOKUP(F2177,辅助信息!A:B,2,FALSE)</f>
        <v>螺纹钢</v>
      </c>
      <c r="F2177" s="120" t="s">
        <v>22</v>
      </c>
      <c r="G2177" s="121">
        <v>9</v>
      </c>
      <c r="H2177" s="134" t="str">
        <f>_xlfn.XLOOKUP(C2177&amp;F2177&amp;I2177&amp;J2177,'[1]2025年已发货'!$F:$F&amp;'[1]2025年已发货'!$C:$C&amp;'[1]2025年已发货'!$G:$G&amp;'[1]2025年已发货'!$H:$H,'[1]2025年已发货'!$E:$E,"未发货")</f>
        <v>未发货</v>
      </c>
      <c r="I2177" s="120" t="str">
        <f>VLOOKUP(B2177,辅助信息!E:I,3,FALSE)</f>
        <v>（商投建工达州中医药科技园-4工区-11号楼）达州市通川区达州中医药职业学院犀牛大道北段</v>
      </c>
      <c r="J2177" s="120" t="str">
        <f>VLOOKUP(B2177,辅助信息!E:I,4,FALSE)</f>
        <v>张扬</v>
      </c>
      <c r="K2177" s="120">
        <f>VLOOKUP(J2177,辅助信息!H:I,2,FALSE)</f>
        <v>18381904567</v>
      </c>
      <c r="L2177" s="122" t="str">
        <f>VLOOKUP(B2177,辅助信息!E:J,6,FALSE)</f>
        <v>控制炉批号！多了现场不收！,优先安排达钢,提前联系到场规格及数量</v>
      </c>
      <c r="M2177" s="91">
        <v>45845</v>
      </c>
      <c r="O2177" s="62">
        <f ca="1" t="shared" si="147"/>
        <v>0</v>
      </c>
      <c r="P2177" s="62">
        <f ca="1" t="shared" si="148"/>
        <v>115</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0" t="s">
        <v>159</v>
      </c>
      <c r="C2178" s="70">
        <v>45849</v>
      </c>
      <c r="D2178" s="120" t="str">
        <f>VLOOKUP(B2178,辅助信息!E:K,7,FALSE)</f>
        <v>JWDDCD2025052800131</v>
      </c>
      <c r="E2178" s="120" t="str">
        <f>VLOOKUP(F2178,辅助信息!A:B,2,FALSE)</f>
        <v>螺纹钢</v>
      </c>
      <c r="F2178" s="120" t="s">
        <v>66</v>
      </c>
      <c r="G2178" s="121">
        <v>6</v>
      </c>
      <c r="H2178" s="134" t="str">
        <f>_xlfn.XLOOKUP(C2178&amp;F2178&amp;I2178&amp;J2178,'[1]2025年已发货'!$F:$F&amp;'[1]2025年已发货'!$C:$C&amp;'[1]2025年已发货'!$G:$G&amp;'[1]2025年已发货'!$H:$H,'[1]2025年已发货'!$E:$E,"未发货")</f>
        <v>未发货</v>
      </c>
      <c r="I2178" s="120" t="str">
        <f>VLOOKUP(B2178,辅助信息!E:I,3,FALSE)</f>
        <v>（商投建工达州中医药科技园-3工区）达州市通川区达州中医药职业学院犀牛大道北段</v>
      </c>
      <c r="J2178" s="120" t="str">
        <f>VLOOKUP(B2178,辅助信息!E:I,4,FALSE)</f>
        <v>程黄刚</v>
      </c>
      <c r="K2178" s="120">
        <f>VLOOKUP(J2178,辅助信息!H:I,2,FALSE)</f>
        <v>15108211617</v>
      </c>
      <c r="L2178" s="122" t="str">
        <f>VLOOKUP(B2178,辅助信息!E:J,6,FALSE)</f>
        <v>控制炉批号！多了现场不收！,优先安排达钢,提前联系到场规格及数量</v>
      </c>
      <c r="M2178" s="91">
        <v>45845</v>
      </c>
      <c r="O2178" s="62">
        <f ca="1" t="shared" si="147"/>
        <v>0</v>
      </c>
      <c r="P2178" s="62">
        <f ca="1" t="shared" si="148"/>
        <v>115</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0" t="s">
        <v>159</v>
      </c>
      <c r="C2179" s="70">
        <v>45849</v>
      </c>
      <c r="D2179" s="120" t="str">
        <f>VLOOKUP(B2179,辅助信息!E:K,7,FALSE)</f>
        <v>JWDDCD2025052800131</v>
      </c>
      <c r="E2179" s="120" t="str">
        <f>VLOOKUP(F2179,辅助信息!A:B,2,FALSE)</f>
        <v>螺纹钢</v>
      </c>
      <c r="F2179" s="120" t="s">
        <v>45</v>
      </c>
      <c r="G2179" s="121">
        <v>6</v>
      </c>
      <c r="H2179" s="134" t="str">
        <f>_xlfn.XLOOKUP(C2179&amp;F2179&amp;I2179&amp;J2179,'[1]2025年已发货'!$F:$F&amp;'[1]2025年已发货'!$C:$C&amp;'[1]2025年已发货'!$G:$G&amp;'[1]2025年已发货'!$H:$H,'[1]2025年已发货'!$E:$E,"未发货")</f>
        <v>未发货</v>
      </c>
      <c r="I2179" s="120" t="str">
        <f>VLOOKUP(B2179,辅助信息!E:I,3,FALSE)</f>
        <v>（商投建工达州中医药科技园-3工区）达州市通川区达州中医药职业学院犀牛大道北段</v>
      </c>
      <c r="J2179" s="120" t="str">
        <f>VLOOKUP(B2179,辅助信息!E:I,4,FALSE)</f>
        <v>程黄刚</v>
      </c>
      <c r="K2179" s="120">
        <f>VLOOKUP(J2179,辅助信息!H:I,2,FALSE)</f>
        <v>15108211617</v>
      </c>
      <c r="L2179" s="122" t="str">
        <f>VLOOKUP(B2179,辅助信息!E:J,6,FALSE)</f>
        <v>控制炉批号！多了现场不收！,优先安排达钢,提前联系到场规格及数量</v>
      </c>
      <c r="M2179" s="91">
        <v>45845</v>
      </c>
      <c r="O2179" s="62">
        <f ca="1" t="shared" si="147"/>
        <v>0</v>
      </c>
      <c r="P2179" s="62">
        <f ca="1" t="shared" si="148"/>
        <v>115</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0" t="s">
        <v>159</v>
      </c>
      <c r="C2180" s="70">
        <v>45849</v>
      </c>
      <c r="D2180" s="120" t="str">
        <f>VLOOKUP(B2180,辅助信息!E:K,7,FALSE)</f>
        <v>JWDDCD2025052800131</v>
      </c>
      <c r="E2180" s="120" t="str">
        <f>VLOOKUP(F2180,辅助信息!A:B,2,FALSE)</f>
        <v>螺纹钢</v>
      </c>
      <c r="F2180" s="120" t="s">
        <v>21</v>
      </c>
      <c r="G2180" s="121">
        <v>6</v>
      </c>
      <c r="H2180" s="134" t="str">
        <f>_xlfn.XLOOKUP(C2180&amp;F2180&amp;I2180&amp;J2180,'[1]2025年已发货'!$F:$F&amp;'[1]2025年已发货'!$C:$C&amp;'[1]2025年已发货'!$G:$G&amp;'[1]2025年已发货'!$H:$H,'[1]2025年已发货'!$E:$E,"未发货")</f>
        <v>未发货</v>
      </c>
      <c r="I2180" s="120" t="str">
        <f>VLOOKUP(B2180,辅助信息!E:I,3,FALSE)</f>
        <v>（商投建工达州中医药科技园-3工区）达州市通川区达州中医药职业学院犀牛大道北段</v>
      </c>
      <c r="J2180" s="120" t="str">
        <f>VLOOKUP(B2180,辅助信息!E:I,4,FALSE)</f>
        <v>程黄刚</v>
      </c>
      <c r="K2180" s="120">
        <f>VLOOKUP(J2180,辅助信息!H:I,2,FALSE)</f>
        <v>15108211617</v>
      </c>
      <c r="L2180" s="122" t="str">
        <f>VLOOKUP(B2180,辅助信息!E:J,6,FALSE)</f>
        <v>控制炉批号！多了现场不收！,优先安排达钢,提前联系到场规格及数量</v>
      </c>
      <c r="M2180" s="91">
        <v>45845</v>
      </c>
      <c r="O2180" s="62">
        <f ca="1" t="shared" si="147"/>
        <v>0</v>
      </c>
      <c r="P2180" s="62">
        <f ca="1" t="shared" si="148"/>
        <v>115</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0" t="s">
        <v>159</v>
      </c>
      <c r="C2181" s="70">
        <v>45849</v>
      </c>
      <c r="D2181" s="120" t="str">
        <f>VLOOKUP(B2181,辅助信息!E:K,7,FALSE)</f>
        <v>JWDDCD2025052800131</v>
      </c>
      <c r="E2181" s="120" t="str">
        <f>VLOOKUP(F2181,辅助信息!A:B,2,FALSE)</f>
        <v>螺纹钢</v>
      </c>
      <c r="F2181" s="120" t="s">
        <v>46</v>
      </c>
      <c r="G2181" s="121">
        <v>12</v>
      </c>
      <c r="H2181" s="134" t="str">
        <f>_xlfn.XLOOKUP(C2181&amp;F2181&amp;I2181&amp;J2181,'[1]2025年已发货'!$F:$F&amp;'[1]2025年已发货'!$C:$C&amp;'[1]2025年已发货'!$G:$G&amp;'[1]2025年已发货'!$H:$H,'[1]2025年已发货'!$E:$E,"未发货")</f>
        <v>未发货</v>
      </c>
      <c r="I2181" s="120" t="str">
        <f>VLOOKUP(B2181,辅助信息!E:I,3,FALSE)</f>
        <v>（商投建工达州中医药科技园-3工区）达州市通川区达州中医药职业学院犀牛大道北段</v>
      </c>
      <c r="J2181" s="120" t="str">
        <f>VLOOKUP(B2181,辅助信息!E:I,4,FALSE)</f>
        <v>程黄刚</v>
      </c>
      <c r="K2181" s="120">
        <f>VLOOKUP(J2181,辅助信息!H:I,2,FALSE)</f>
        <v>15108211617</v>
      </c>
      <c r="L2181" s="122" t="str">
        <f>VLOOKUP(B2181,辅助信息!E:J,6,FALSE)</f>
        <v>控制炉批号！多了现场不收！,优先安排达钢,提前联系到场规格及数量</v>
      </c>
      <c r="M2181" s="91">
        <v>45845</v>
      </c>
      <c r="O2181" s="62">
        <f ca="1" t="shared" si="147"/>
        <v>0</v>
      </c>
      <c r="P2181" s="62">
        <f ca="1" t="shared" si="148"/>
        <v>115</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0" t="s">
        <v>81</v>
      </c>
      <c r="C2182" s="70">
        <v>45849</v>
      </c>
      <c r="D2182" s="120" t="str">
        <f>VLOOKUP(B2182,辅助信息!E:K,7,FALSE)</f>
        <v>JWDDCD2025060900080</v>
      </c>
      <c r="E2182" s="120" t="str">
        <f>VLOOKUP(F2182,辅助信息!A:B,2,FALSE)</f>
        <v>螺纹钢</v>
      </c>
      <c r="F2182" s="120" t="s">
        <v>66</v>
      </c>
      <c r="G2182" s="121">
        <v>2.5</v>
      </c>
      <c r="H2182" s="134" t="str">
        <f>_xlfn.XLOOKUP(C2182&amp;F2182&amp;I2182&amp;J2182,'[1]2025年已发货'!$F:$F&amp;'[1]2025年已发货'!$C:$C&amp;'[1]2025年已发货'!$G:$G&amp;'[1]2025年已发货'!$H:$H,'[1]2025年已发货'!$E:$E,"未发货")</f>
        <v>未发货</v>
      </c>
      <c r="I2182" s="120" t="str">
        <f>VLOOKUP(B2182,辅助信息!E:I,3,FALSE)</f>
        <v>（华西简阳西城嘉苑）四川省成都市简阳市简城街道高屋村</v>
      </c>
      <c r="J2182" s="120" t="str">
        <f>VLOOKUP(B2182,辅助信息!E:I,4,FALSE)</f>
        <v>张瀚镭</v>
      </c>
      <c r="K2182" s="120">
        <f>VLOOKUP(J2182,辅助信息!H:I,2,FALSE)</f>
        <v>15884666220</v>
      </c>
      <c r="L2182" s="122" t="str">
        <f>VLOOKUP(B2182,辅助信息!E:J,6,FALSE)</f>
        <v>现场禁止使用氢能源挂车！优先威钢发货,我方卸车,新老国标钢厂不加价可直发，因陕钢多次出现磅差，项目拒绝使用</v>
      </c>
      <c r="M2182" s="91">
        <v>45847</v>
      </c>
      <c r="O2182" s="62">
        <f ca="1" t="shared" si="147"/>
        <v>0</v>
      </c>
      <c r="P2182" s="62">
        <f ca="1" t="shared" si="148"/>
        <v>113</v>
      </c>
      <c r="Q2182" s="29" t="str">
        <f>VLOOKUP(B2182,辅助信息!E:M,9,FALSE)</f>
        <v>ZTWM-CDGS-XS-2024-0030-华西集采-简州大道</v>
      </c>
      <c r="R2182" s="29" t="str">
        <f>_xlfn._xlws.FILTER(辅助信息!D:D,辅助信息!E:E=B2182)</f>
        <v>华西简阳西城嘉苑</v>
      </c>
    </row>
    <row r="2183" hidden="1" spans="2:18">
      <c r="B2183" s="120" t="s">
        <v>186</v>
      </c>
      <c r="C2183" s="70">
        <v>45849</v>
      </c>
      <c r="D2183" s="120" t="str">
        <f>VLOOKUP(B2183,辅助信息!E:K,7,FALSE)</f>
        <v>JWDDCD2025072900123</v>
      </c>
      <c r="E2183" s="120" t="str">
        <f>VLOOKUP(F2183,辅助信息!A:B,2,FALSE)</f>
        <v>螺纹钢</v>
      </c>
      <c r="F2183" s="120" t="s">
        <v>22</v>
      </c>
      <c r="G2183" s="121">
        <v>17</v>
      </c>
      <c r="H2183" s="134" t="str">
        <f>_xlfn.XLOOKUP(C2183&amp;F2183&amp;I2183&amp;J2183,'[1]2025年已发货'!$F:$F&amp;'[1]2025年已发货'!$C:$C&amp;'[1]2025年已发货'!$G:$G&amp;'[1]2025年已发货'!$H:$H,'[1]2025年已发货'!$E:$E,"未发货")</f>
        <v>未发货</v>
      </c>
      <c r="I2183" s="120" t="str">
        <f>VLOOKUP(B2183,辅助信息!E:I,3,FALSE)</f>
        <v>(乐山市校地共建产教融合基地建设项目二标段)四川省乐山市市中区苏稽镇</v>
      </c>
      <c r="J2183" s="120" t="str">
        <f>VLOOKUP(B2183,辅助信息!E:I,4,FALSE)</f>
        <v>彭江涛</v>
      </c>
      <c r="K2183" s="120">
        <f>VLOOKUP(J2183,辅助信息!H:I,2,FALSE)</f>
        <v>13990276572</v>
      </c>
      <c r="L2183" s="122" t="str">
        <f>VLOOKUP(B2183,辅助信息!E:J,6,FALSE)</f>
        <v>联系实际收货人（彭江涛13990276572）现场要求炉批号控制2个以下，超2个不给予签收。提前联系到场规格及数量</v>
      </c>
      <c r="M2183" s="91">
        <v>45847</v>
      </c>
      <c r="O2183" s="62">
        <f ca="1" t="shared" si="147"/>
        <v>0</v>
      </c>
      <c r="P2183" s="62">
        <f ca="1" t="shared" si="148"/>
        <v>113</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0">
        <v>45849</v>
      </c>
      <c r="D2184" s="40" t="str">
        <f>VLOOKUP(B2184,辅助信息!E:K,7,FALSE)</f>
        <v>JWDDCD2025052800131</v>
      </c>
      <c r="E2184" s="40" t="str">
        <f>VLOOKUP(F2184,辅助信息!A:B,2,FALSE)</f>
        <v>盘螺</v>
      </c>
      <c r="F2184" s="40" t="s">
        <v>49</v>
      </c>
      <c r="G2184" s="36">
        <v>6</v>
      </c>
      <c r="H2184" s="134">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09" t="str">
        <f>VLOOKUP(B2184,辅助信息!E:J,6,FALSE)</f>
        <v>控制炉批号！多了现场不收！,优先安排达钢,提前联系到场规格及数量</v>
      </c>
      <c r="M2184" s="91">
        <v>45849</v>
      </c>
      <c r="O2184" s="62">
        <f ca="1" t="shared" si="147"/>
        <v>0</v>
      </c>
      <c r="P2184" s="62">
        <f ca="1" t="shared" si="148"/>
        <v>111</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0">
        <v>45849</v>
      </c>
      <c r="D2185" s="40" t="str">
        <f>VLOOKUP(B2185,辅助信息!E:K,7,FALSE)</f>
        <v>JWDDCD2025052800131</v>
      </c>
      <c r="E2185" s="40" t="str">
        <f>VLOOKUP(F2185,辅助信息!A:B,2,FALSE)</f>
        <v>盘螺</v>
      </c>
      <c r="F2185" s="40" t="s">
        <v>40</v>
      </c>
      <c r="G2185" s="36">
        <v>15</v>
      </c>
      <c r="H2185" s="134">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09" t="str">
        <f>VLOOKUP(B2185,辅助信息!E:J,6,FALSE)</f>
        <v>控制炉批号！多了现场不收！,优先安排达钢,提前联系到场规格及数量</v>
      </c>
      <c r="M2185" s="91">
        <v>45849</v>
      </c>
      <c r="O2185" s="62">
        <f ca="1" t="shared" si="147"/>
        <v>0</v>
      </c>
      <c r="P2185" s="62">
        <f ca="1" t="shared" si="148"/>
        <v>111</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0">
        <v>45849</v>
      </c>
      <c r="D2186" s="40" t="str">
        <f>VLOOKUP(B2186,辅助信息!E:K,7,FALSE)</f>
        <v>JWDDCD2025052800131</v>
      </c>
      <c r="E2186" s="40" t="str">
        <f>VLOOKUP(F2186,辅助信息!A:B,2,FALSE)</f>
        <v>盘螺</v>
      </c>
      <c r="F2186" s="40" t="s">
        <v>41</v>
      </c>
      <c r="G2186" s="36">
        <v>24</v>
      </c>
      <c r="H2186" s="134">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09" t="str">
        <f>VLOOKUP(B2186,辅助信息!E:J,6,FALSE)</f>
        <v>控制炉批号！多了现场不收！,优先安排达钢,提前联系到场规格及数量</v>
      </c>
      <c r="M2186" s="91">
        <v>45849</v>
      </c>
      <c r="O2186" s="62">
        <f ca="1" t="shared" si="147"/>
        <v>0</v>
      </c>
      <c r="P2186" s="62">
        <f ca="1" t="shared" si="148"/>
        <v>111</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0">
        <v>45849</v>
      </c>
      <c r="D2187" s="40" t="str">
        <f>VLOOKUP(B2187,辅助信息!E:K,7,FALSE)</f>
        <v>JWDDCD2025052800131</v>
      </c>
      <c r="E2187" s="40" t="str">
        <f>VLOOKUP(F2187,辅助信息!A:B,2,FALSE)</f>
        <v>螺纹钢</v>
      </c>
      <c r="F2187" s="40" t="s">
        <v>27</v>
      </c>
      <c r="G2187" s="36">
        <v>9</v>
      </c>
      <c r="H2187" s="134">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09" t="str">
        <f>VLOOKUP(B2187,辅助信息!E:J,6,FALSE)</f>
        <v>控制炉批号！多了现场不收！,优先安排达钢,提前联系到场规格及数量</v>
      </c>
      <c r="M2187" s="91">
        <v>45849</v>
      </c>
      <c r="O2187" s="62">
        <f ca="1" t="shared" si="147"/>
        <v>0</v>
      </c>
      <c r="P2187" s="62">
        <f ca="1" t="shared" si="148"/>
        <v>111</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2" t="s">
        <v>190</v>
      </c>
      <c r="B2188" s="40" t="s">
        <v>31</v>
      </c>
      <c r="C2188" s="70">
        <v>45849</v>
      </c>
      <c r="D2188" s="40" t="str">
        <f>VLOOKUP(B2188,辅助信息!E:K,7,FALSE)</f>
        <v>JWDDCD2024121000136</v>
      </c>
      <c r="E2188" s="40" t="str">
        <f>VLOOKUP(F2188,辅助信息!A:B,2,FALSE)</f>
        <v>螺纹钢</v>
      </c>
      <c r="F2188" s="40" t="s">
        <v>22</v>
      </c>
      <c r="G2188" s="36">
        <v>35</v>
      </c>
      <c r="H2188" s="134">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09" t="str">
        <f>VLOOKUP(B2188,辅助信息!E:J,6,FALSE)</f>
        <v>提前联系到场规格及数量</v>
      </c>
      <c r="M2188" s="91">
        <v>45849</v>
      </c>
      <c r="O2188" s="62">
        <f ca="1" t="shared" si="147"/>
        <v>0</v>
      </c>
      <c r="P2188" s="62">
        <f ca="1" t="shared" si="148"/>
        <v>111</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0">
        <v>45849</v>
      </c>
      <c r="D2189" s="40" t="str">
        <f>VLOOKUP(B2189,辅助信息!E:K,7,FALSE)</f>
        <v>JWDDCD2024101600133</v>
      </c>
      <c r="E2189" s="40" t="str">
        <f>VLOOKUP(F2189,辅助信息!A:B,2,FALSE)</f>
        <v>盘螺</v>
      </c>
      <c r="F2189" s="40" t="s">
        <v>40</v>
      </c>
      <c r="G2189" s="36">
        <v>20</v>
      </c>
      <c r="H2189" s="134">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09" t="str">
        <f>VLOOKUP(B2189,辅助信息!E:J,6,FALSE)</f>
        <v>提前联系到场规格</v>
      </c>
      <c r="M2189" s="91">
        <v>45849</v>
      </c>
      <c r="O2189" s="62">
        <f ca="1" t="shared" si="147"/>
        <v>0</v>
      </c>
      <c r="P2189" s="62">
        <f ca="1" t="shared" si="148"/>
        <v>111</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0">
        <v>45849</v>
      </c>
      <c r="D2190" s="40" t="str">
        <f>VLOOKUP(B2190,辅助信息!E:K,7,FALSE)</f>
        <v>JWDDCD2024101600133</v>
      </c>
      <c r="E2190" s="40" t="str">
        <f>VLOOKUP(F2190,辅助信息!A:B,2,FALSE)</f>
        <v>盘螺</v>
      </c>
      <c r="F2190" s="40" t="s">
        <v>41</v>
      </c>
      <c r="G2190" s="36">
        <v>11</v>
      </c>
      <c r="H2190" s="134">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09" t="str">
        <f>VLOOKUP(B2190,辅助信息!E:J,6,FALSE)</f>
        <v>提前联系到场规格</v>
      </c>
      <c r="M2190" s="91">
        <v>45849</v>
      </c>
      <c r="O2190" s="62">
        <f ca="1" t="shared" si="147"/>
        <v>0</v>
      </c>
      <c r="P2190" s="62">
        <f ca="1" t="shared" si="148"/>
        <v>111</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0">
        <v>45849</v>
      </c>
      <c r="D2191" s="40" t="str">
        <f>VLOOKUP(B2191,辅助信息!E:K,7,FALSE)</f>
        <v>JWDDCD2024101600133</v>
      </c>
      <c r="E2191" s="40" t="str">
        <f>VLOOKUP(F2191,辅助信息!A:B,2,FALSE)</f>
        <v>螺纹钢</v>
      </c>
      <c r="F2191" s="40" t="s">
        <v>18</v>
      </c>
      <c r="G2191" s="36">
        <v>3</v>
      </c>
      <c r="H2191" s="134">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09" t="str">
        <f>VLOOKUP(B2191,辅助信息!E:J,6,FALSE)</f>
        <v>提前联系到场规格</v>
      </c>
      <c r="M2191" s="91">
        <v>45849</v>
      </c>
      <c r="O2191" s="62">
        <f ca="1" t="shared" si="147"/>
        <v>0</v>
      </c>
      <c r="P2191" s="62">
        <f ca="1" t="shared" si="148"/>
        <v>111</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0" t="s">
        <v>147</v>
      </c>
      <c r="C2192" s="70">
        <v>45850</v>
      </c>
      <c r="D2192" s="120" t="str">
        <f>VLOOKUP(B2192,辅助信息!E:K,7,FALSE)</f>
        <v>JWDDCD2025052800131</v>
      </c>
      <c r="E2192" s="120" t="str">
        <f>VLOOKUP(F2192,辅助信息!A:B,2,FALSE)</f>
        <v>螺纹钢</v>
      </c>
      <c r="F2192" s="120" t="s">
        <v>21</v>
      </c>
      <c r="G2192" s="121">
        <v>6</v>
      </c>
      <c r="H2192" s="134" t="str">
        <f>_xlfn.XLOOKUP(C2192&amp;F2192&amp;I2192&amp;J2192,'[1]2025年已发货'!$F:$F&amp;'[1]2025年已发货'!$C:$C&amp;'[1]2025年已发货'!$G:$G&amp;'[1]2025年已发货'!$H:$H,'[1]2025年已发货'!$E:$E,"未发货")</f>
        <v>未发货</v>
      </c>
      <c r="I2192" s="120" t="str">
        <f>VLOOKUP(B2192,辅助信息!E:I,3,FALSE)</f>
        <v>（商投建工达州中医药科技园-4工区-11号楼）达州市通川区达州中医药职业学院犀牛大道北段</v>
      </c>
      <c r="J2192" s="120" t="str">
        <f>VLOOKUP(B2192,辅助信息!E:I,4,FALSE)</f>
        <v>张扬</v>
      </c>
      <c r="K2192" s="120">
        <f>VLOOKUP(J2192,辅助信息!H:I,2,FALSE)</f>
        <v>18381904567</v>
      </c>
      <c r="L2192" s="122" t="str">
        <f>VLOOKUP(B2192,辅助信息!E:J,6,FALSE)</f>
        <v>控制炉批号！多了现场不收！,优先安排达钢,提前联系到场规格及数量</v>
      </c>
      <c r="M2192" s="91">
        <v>45845</v>
      </c>
      <c r="O2192" s="62">
        <f ca="1" t="shared" si="147"/>
        <v>0</v>
      </c>
      <c r="P2192" s="62">
        <f ca="1" t="shared" si="148"/>
        <v>115</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0" t="s">
        <v>147</v>
      </c>
      <c r="C2193" s="70">
        <v>45850</v>
      </c>
      <c r="D2193" s="120" t="str">
        <f>VLOOKUP(B2193,辅助信息!E:K,7,FALSE)</f>
        <v>JWDDCD2025052800131</v>
      </c>
      <c r="E2193" s="120" t="str">
        <f>VLOOKUP(F2193,辅助信息!A:B,2,FALSE)</f>
        <v>螺纹钢</v>
      </c>
      <c r="F2193" s="120" t="s">
        <v>58</v>
      </c>
      <c r="G2193" s="121">
        <v>6</v>
      </c>
      <c r="H2193" s="134" t="str">
        <f>_xlfn.XLOOKUP(C2193&amp;F2193&amp;I2193&amp;J2193,'[1]2025年已发货'!$F:$F&amp;'[1]2025年已发货'!$C:$C&amp;'[1]2025年已发货'!$G:$G&amp;'[1]2025年已发货'!$H:$H,'[1]2025年已发货'!$E:$E,"未发货")</f>
        <v>未发货</v>
      </c>
      <c r="I2193" s="120" t="str">
        <f>VLOOKUP(B2193,辅助信息!E:I,3,FALSE)</f>
        <v>（商投建工达州中医药科技园-4工区-11号楼）达州市通川区达州中医药职业学院犀牛大道北段</v>
      </c>
      <c r="J2193" s="120" t="str">
        <f>VLOOKUP(B2193,辅助信息!E:I,4,FALSE)</f>
        <v>张扬</v>
      </c>
      <c r="K2193" s="120">
        <f>VLOOKUP(J2193,辅助信息!H:I,2,FALSE)</f>
        <v>18381904567</v>
      </c>
      <c r="L2193" s="122" t="str">
        <f>VLOOKUP(B2193,辅助信息!E:J,6,FALSE)</f>
        <v>控制炉批号！多了现场不收！,优先安排达钢,提前联系到场规格及数量</v>
      </c>
      <c r="M2193" s="91">
        <v>45845</v>
      </c>
      <c r="O2193" s="62">
        <f ca="1" t="shared" si="147"/>
        <v>0</v>
      </c>
      <c r="P2193" s="62">
        <f ca="1" t="shared" si="148"/>
        <v>115</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0" t="s">
        <v>147</v>
      </c>
      <c r="C2194" s="70">
        <v>45850</v>
      </c>
      <c r="D2194" s="120" t="str">
        <f>VLOOKUP(B2194,辅助信息!E:K,7,FALSE)</f>
        <v>JWDDCD2025052800131</v>
      </c>
      <c r="E2194" s="120" t="str">
        <f>VLOOKUP(F2194,辅助信息!A:B,2,FALSE)</f>
        <v>螺纹钢</v>
      </c>
      <c r="F2194" s="120" t="s">
        <v>46</v>
      </c>
      <c r="G2194" s="121">
        <v>15</v>
      </c>
      <c r="H2194" s="134" t="str">
        <f>_xlfn.XLOOKUP(C2194&amp;F2194&amp;I2194&amp;J2194,'[1]2025年已发货'!$F:$F&amp;'[1]2025年已发货'!$C:$C&amp;'[1]2025年已发货'!$G:$G&amp;'[1]2025年已发货'!$H:$H,'[1]2025年已发货'!$E:$E,"未发货")</f>
        <v>未发货</v>
      </c>
      <c r="I2194" s="120" t="str">
        <f>VLOOKUP(B2194,辅助信息!E:I,3,FALSE)</f>
        <v>（商投建工达州中医药科技园-4工区-11号楼）达州市通川区达州中医药职业学院犀牛大道北段</v>
      </c>
      <c r="J2194" s="120" t="str">
        <f>VLOOKUP(B2194,辅助信息!E:I,4,FALSE)</f>
        <v>张扬</v>
      </c>
      <c r="K2194" s="120">
        <f>VLOOKUP(J2194,辅助信息!H:I,2,FALSE)</f>
        <v>18381904567</v>
      </c>
      <c r="L2194" s="122" t="str">
        <f>VLOOKUP(B2194,辅助信息!E:J,6,FALSE)</f>
        <v>控制炉批号！多了现场不收！,优先安排达钢,提前联系到场规格及数量</v>
      </c>
      <c r="M2194" s="91">
        <v>45845</v>
      </c>
      <c r="O2194" s="62">
        <f ca="1" t="shared" si="147"/>
        <v>0</v>
      </c>
      <c r="P2194" s="62">
        <f ca="1" t="shared" si="148"/>
        <v>115</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0" t="s">
        <v>147</v>
      </c>
      <c r="C2195" s="70">
        <v>45850</v>
      </c>
      <c r="D2195" s="120" t="str">
        <f>VLOOKUP(B2195,辅助信息!E:K,7,FALSE)</f>
        <v>JWDDCD2025052800131</v>
      </c>
      <c r="E2195" s="120" t="str">
        <f>VLOOKUP(F2195,辅助信息!A:B,2,FALSE)</f>
        <v>螺纹钢</v>
      </c>
      <c r="F2195" s="120" t="s">
        <v>22</v>
      </c>
      <c r="G2195" s="121">
        <v>9</v>
      </c>
      <c r="H2195" s="134" t="str">
        <f>_xlfn.XLOOKUP(C2195&amp;F2195&amp;I2195&amp;J2195,'[1]2025年已发货'!$F:$F&amp;'[1]2025年已发货'!$C:$C&amp;'[1]2025年已发货'!$G:$G&amp;'[1]2025年已发货'!$H:$H,'[1]2025年已发货'!$E:$E,"未发货")</f>
        <v>未发货</v>
      </c>
      <c r="I2195" s="120" t="str">
        <f>VLOOKUP(B2195,辅助信息!E:I,3,FALSE)</f>
        <v>（商投建工达州中医药科技园-4工区-11号楼）达州市通川区达州中医药职业学院犀牛大道北段</v>
      </c>
      <c r="J2195" s="120" t="str">
        <f>VLOOKUP(B2195,辅助信息!E:I,4,FALSE)</f>
        <v>张扬</v>
      </c>
      <c r="K2195" s="120">
        <f>VLOOKUP(J2195,辅助信息!H:I,2,FALSE)</f>
        <v>18381904567</v>
      </c>
      <c r="L2195" s="122" t="str">
        <f>VLOOKUP(B2195,辅助信息!E:J,6,FALSE)</f>
        <v>控制炉批号！多了现场不收！,优先安排达钢,提前联系到场规格及数量</v>
      </c>
      <c r="M2195" s="91">
        <v>45845</v>
      </c>
      <c r="O2195" s="62">
        <f ca="1" t="shared" si="147"/>
        <v>0</v>
      </c>
      <c r="P2195" s="62">
        <f ca="1" t="shared" si="148"/>
        <v>115</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0" t="s">
        <v>159</v>
      </c>
      <c r="C2196" s="70">
        <v>45850</v>
      </c>
      <c r="D2196" s="120" t="str">
        <f>VLOOKUP(B2196,辅助信息!E:K,7,FALSE)</f>
        <v>JWDDCD2025052800131</v>
      </c>
      <c r="E2196" s="120" t="str">
        <f>VLOOKUP(F2196,辅助信息!A:B,2,FALSE)</f>
        <v>螺纹钢</v>
      </c>
      <c r="F2196" s="120" t="s">
        <v>66</v>
      </c>
      <c r="G2196" s="121">
        <v>6</v>
      </c>
      <c r="H2196" s="134" t="str">
        <f>_xlfn.XLOOKUP(C2196&amp;F2196&amp;I2196&amp;J2196,'[1]2025年已发货'!$F:$F&amp;'[1]2025年已发货'!$C:$C&amp;'[1]2025年已发货'!$G:$G&amp;'[1]2025年已发货'!$H:$H,'[1]2025年已发货'!$E:$E,"未发货")</f>
        <v>未发货</v>
      </c>
      <c r="I2196" s="120" t="str">
        <f>VLOOKUP(B2196,辅助信息!E:I,3,FALSE)</f>
        <v>（商投建工达州中医药科技园-3工区）达州市通川区达州中医药职业学院犀牛大道北段</v>
      </c>
      <c r="J2196" s="120" t="str">
        <f>VLOOKUP(B2196,辅助信息!E:I,4,FALSE)</f>
        <v>程黄刚</v>
      </c>
      <c r="K2196" s="120">
        <f>VLOOKUP(J2196,辅助信息!H:I,2,FALSE)</f>
        <v>15108211617</v>
      </c>
      <c r="L2196" s="122" t="str">
        <f>VLOOKUP(B2196,辅助信息!E:J,6,FALSE)</f>
        <v>控制炉批号！多了现场不收！,优先安排达钢,提前联系到场规格及数量</v>
      </c>
      <c r="M2196" s="91">
        <v>45845</v>
      </c>
      <c r="O2196" s="62">
        <f ca="1" t="shared" si="147"/>
        <v>0</v>
      </c>
      <c r="P2196" s="62">
        <f ca="1" t="shared" si="148"/>
        <v>115</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0" t="s">
        <v>159</v>
      </c>
      <c r="C2197" s="70">
        <v>45850</v>
      </c>
      <c r="D2197" s="120" t="str">
        <f>VLOOKUP(B2197,辅助信息!E:K,7,FALSE)</f>
        <v>JWDDCD2025052800131</v>
      </c>
      <c r="E2197" s="120" t="str">
        <f>VLOOKUP(F2197,辅助信息!A:B,2,FALSE)</f>
        <v>螺纹钢</v>
      </c>
      <c r="F2197" s="120" t="s">
        <v>45</v>
      </c>
      <c r="G2197" s="121">
        <v>6</v>
      </c>
      <c r="H2197" s="134" t="str">
        <f>_xlfn.XLOOKUP(C2197&amp;F2197&amp;I2197&amp;J2197,'[1]2025年已发货'!$F:$F&amp;'[1]2025年已发货'!$C:$C&amp;'[1]2025年已发货'!$G:$G&amp;'[1]2025年已发货'!$H:$H,'[1]2025年已发货'!$E:$E,"未发货")</f>
        <v>未发货</v>
      </c>
      <c r="I2197" s="120" t="str">
        <f>VLOOKUP(B2197,辅助信息!E:I,3,FALSE)</f>
        <v>（商投建工达州中医药科技园-3工区）达州市通川区达州中医药职业学院犀牛大道北段</v>
      </c>
      <c r="J2197" s="120" t="str">
        <f>VLOOKUP(B2197,辅助信息!E:I,4,FALSE)</f>
        <v>程黄刚</v>
      </c>
      <c r="K2197" s="120">
        <f>VLOOKUP(J2197,辅助信息!H:I,2,FALSE)</f>
        <v>15108211617</v>
      </c>
      <c r="L2197" s="122" t="str">
        <f>VLOOKUP(B2197,辅助信息!E:J,6,FALSE)</f>
        <v>控制炉批号！多了现场不收！,优先安排达钢,提前联系到场规格及数量</v>
      </c>
      <c r="M2197" s="91">
        <v>45845</v>
      </c>
      <c r="O2197" s="62">
        <f ca="1" t="shared" si="147"/>
        <v>0</v>
      </c>
      <c r="P2197" s="62">
        <f ca="1" t="shared" si="148"/>
        <v>115</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0" t="s">
        <v>159</v>
      </c>
      <c r="C2198" s="70">
        <v>45850</v>
      </c>
      <c r="D2198" s="120" t="str">
        <f>VLOOKUP(B2198,辅助信息!E:K,7,FALSE)</f>
        <v>JWDDCD2025052800131</v>
      </c>
      <c r="E2198" s="120" t="str">
        <f>VLOOKUP(F2198,辅助信息!A:B,2,FALSE)</f>
        <v>螺纹钢</v>
      </c>
      <c r="F2198" s="120" t="s">
        <v>21</v>
      </c>
      <c r="G2198" s="121">
        <v>6</v>
      </c>
      <c r="H2198" s="134" t="str">
        <f>_xlfn.XLOOKUP(C2198&amp;F2198&amp;I2198&amp;J2198,'[1]2025年已发货'!$F:$F&amp;'[1]2025年已发货'!$C:$C&amp;'[1]2025年已发货'!$G:$G&amp;'[1]2025年已发货'!$H:$H,'[1]2025年已发货'!$E:$E,"未发货")</f>
        <v>未发货</v>
      </c>
      <c r="I2198" s="120" t="str">
        <f>VLOOKUP(B2198,辅助信息!E:I,3,FALSE)</f>
        <v>（商投建工达州中医药科技园-3工区）达州市通川区达州中医药职业学院犀牛大道北段</v>
      </c>
      <c r="J2198" s="120" t="str">
        <f>VLOOKUP(B2198,辅助信息!E:I,4,FALSE)</f>
        <v>程黄刚</v>
      </c>
      <c r="K2198" s="120">
        <f>VLOOKUP(J2198,辅助信息!H:I,2,FALSE)</f>
        <v>15108211617</v>
      </c>
      <c r="L2198" s="122" t="str">
        <f>VLOOKUP(B2198,辅助信息!E:J,6,FALSE)</f>
        <v>控制炉批号！多了现场不收！,优先安排达钢,提前联系到场规格及数量</v>
      </c>
      <c r="M2198" s="91">
        <v>45845</v>
      </c>
      <c r="O2198" s="62">
        <f ca="1" t="shared" si="147"/>
        <v>0</v>
      </c>
      <c r="P2198" s="62">
        <f ca="1" t="shared" si="148"/>
        <v>115</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0" t="s">
        <v>159</v>
      </c>
      <c r="C2199" s="70">
        <v>45850</v>
      </c>
      <c r="D2199" s="120" t="str">
        <f>VLOOKUP(B2199,辅助信息!E:K,7,FALSE)</f>
        <v>JWDDCD2025052800131</v>
      </c>
      <c r="E2199" s="120" t="str">
        <f>VLOOKUP(F2199,辅助信息!A:B,2,FALSE)</f>
        <v>螺纹钢</v>
      </c>
      <c r="F2199" s="120" t="s">
        <v>46</v>
      </c>
      <c r="G2199" s="121">
        <v>12</v>
      </c>
      <c r="H2199" s="134" t="str">
        <f>_xlfn.XLOOKUP(C2199&amp;F2199&amp;I2199&amp;J2199,'[1]2025年已发货'!$F:$F&amp;'[1]2025年已发货'!$C:$C&amp;'[1]2025年已发货'!$G:$G&amp;'[1]2025年已发货'!$H:$H,'[1]2025年已发货'!$E:$E,"未发货")</f>
        <v>未发货</v>
      </c>
      <c r="I2199" s="120" t="str">
        <f>VLOOKUP(B2199,辅助信息!E:I,3,FALSE)</f>
        <v>（商投建工达州中医药科技园-3工区）达州市通川区达州中医药职业学院犀牛大道北段</v>
      </c>
      <c r="J2199" s="120" t="str">
        <f>VLOOKUP(B2199,辅助信息!E:I,4,FALSE)</f>
        <v>程黄刚</v>
      </c>
      <c r="K2199" s="120">
        <f>VLOOKUP(J2199,辅助信息!H:I,2,FALSE)</f>
        <v>15108211617</v>
      </c>
      <c r="L2199" s="122" t="str">
        <f>VLOOKUP(B2199,辅助信息!E:J,6,FALSE)</f>
        <v>控制炉批号！多了现场不收！,优先安排达钢,提前联系到场规格及数量</v>
      </c>
      <c r="M2199" s="91">
        <v>45845</v>
      </c>
      <c r="O2199" s="62">
        <f ca="1" t="shared" si="147"/>
        <v>0</v>
      </c>
      <c r="P2199" s="62">
        <f ca="1" t="shared" si="148"/>
        <v>115</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0" t="s">
        <v>81</v>
      </c>
      <c r="C2200" s="70">
        <v>45850</v>
      </c>
      <c r="D2200" s="120" t="str">
        <f>VLOOKUP(B2200,辅助信息!E:K,7,FALSE)</f>
        <v>JWDDCD2025060900080</v>
      </c>
      <c r="E2200" s="120" t="str">
        <f>VLOOKUP(F2200,辅助信息!A:B,2,FALSE)</f>
        <v>螺纹钢</v>
      </c>
      <c r="F2200" s="120" t="s">
        <v>66</v>
      </c>
      <c r="G2200" s="121">
        <v>2.5</v>
      </c>
      <c r="H2200" s="134" t="str">
        <f>_xlfn.XLOOKUP(C2200&amp;F2200&amp;I2200&amp;J2200,'[1]2025年已发货'!$F:$F&amp;'[1]2025年已发货'!$C:$C&amp;'[1]2025年已发货'!$G:$G&amp;'[1]2025年已发货'!$H:$H,'[1]2025年已发货'!$E:$E,"未发货")</f>
        <v>未发货</v>
      </c>
      <c r="I2200" s="120" t="str">
        <f>VLOOKUP(B2200,辅助信息!E:I,3,FALSE)</f>
        <v>（华西简阳西城嘉苑）四川省成都市简阳市简城街道高屋村</v>
      </c>
      <c r="J2200" s="120" t="str">
        <f>VLOOKUP(B2200,辅助信息!E:I,4,FALSE)</f>
        <v>张瀚镭</v>
      </c>
      <c r="K2200" s="120">
        <f>VLOOKUP(J2200,辅助信息!H:I,2,FALSE)</f>
        <v>15884666220</v>
      </c>
      <c r="L2200" s="122" t="str">
        <f>VLOOKUP(B2200,辅助信息!E:J,6,FALSE)</f>
        <v>现场禁止使用氢能源挂车！优先威钢发货,我方卸车,新老国标钢厂不加价可直发，因陕钢多次出现磅差，项目拒绝使用</v>
      </c>
      <c r="M2200" s="91">
        <v>45847</v>
      </c>
      <c r="O2200" s="62">
        <f ca="1" t="shared" si="147"/>
        <v>0</v>
      </c>
      <c r="P2200" s="62">
        <f ca="1" t="shared" si="148"/>
        <v>113</v>
      </c>
      <c r="Q2200" s="29" t="str">
        <f>VLOOKUP(B2200,辅助信息!E:M,9,FALSE)</f>
        <v>ZTWM-CDGS-XS-2024-0030-华西集采-简州大道</v>
      </c>
      <c r="R2200" s="29" t="str">
        <f>_xlfn._xlws.FILTER(辅助信息!D:D,辅助信息!E:E=B2200)</f>
        <v>华西简阳西城嘉苑</v>
      </c>
    </row>
    <row r="2201" hidden="1" spans="2:18">
      <c r="B2201" s="40" t="s">
        <v>186</v>
      </c>
      <c r="C2201" s="70">
        <v>45850</v>
      </c>
      <c r="D2201" s="40" t="str">
        <f>VLOOKUP(B2201,辅助信息!E:K,7,FALSE)</f>
        <v>JWDDCD2025072900123</v>
      </c>
      <c r="E2201" s="40" t="str">
        <f>VLOOKUP(F2201,辅助信息!A:B,2,FALSE)</f>
        <v>高线</v>
      </c>
      <c r="F2201" s="40" t="s">
        <v>57</v>
      </c>
      <c r="G2201" s="36">
        <v>3</v>
      </c>
      <c r="H2201" s="134">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09" t="str">
        <f>VLOOKUP(B2201,辅助信息!E:J,6,FALSE)</f>
        <v>联系实际收货人（彭江涛13990276572）现场要求炉批号控制2个以下，超2个不给予签收。提前联系到场规格及数量</v>
      </c>
      <c r="M2201" s="91">
        <v>45851</v>
      </c>
      <c r="O2201" s="62">
        <f ca="1" t="shared" si="147"/>
        <v>0</v>
      </c>
      <c r="P2201" s="62">
        <f ca="1" t="shared" si="148"/>
        <v>109</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0">
        <v>45850</v>
      </c>
      <c r="D2202" s="40" t="str">
        <f>VLOOKUP(B2202,辅助信息!E:K,7,FALSE)</f>
        <v>JWDDCD2025072900123</v>
      </c>
      <c r="E2202" s="40" t="str">
        <f>VLOOKUP(F2202,辅助信息!A:B,2,FALSE)</f>
        <v>高线</v>
      </c>
      <c r="F2202" s="40" t="s">
        <v>53</v>
      </c>
      <c r="G2202" s="36">
        <v>3</v>
      </c>
      <c r="H2202" s="134">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09" t="str">
        <f>VLOOKUP(B2202,辅助信息!E:J,6,FALSE)</f>
        <v>联系实际收货人（彭江涛13990276572）现场要求炉批号控制2个以下，超2个不给予签收。提前联系到场规格及数量</v>
      </c>
      <c r="M2202" s="91">
        <v>45851</v>
      </c>
      <c r="O2202" s="62">
        <f ca="1" t="shared" si="147"/>
        <v>0</v>
      </c>
      <c r="P2202" s="62">
        <f ca="1" t="shared" si="148"/>
        <v>109</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0">
        <v>45850</v>
      </c>
      <c r="D2203" s="40" t="str">
        <f>VLOOKUP(B2203,辅助信息!E:K,7,FALSE)</f>
        <v>JWDDCD2025072900123</v>
      </c>
      <c r="E2203" s="40" t="str">
        <f>VLOOKUP(F2203,辅助信息!A:B,2,FALSE)</f>
        <v>盘螺</v>
      </c>
      <c r="F2203" s="40" t="s">
        <v>40</v>
      </c>
      <c r="G2203" s="36">
        <v>12</v>
      </c>
      <c r="H2203" s="134">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09" t="str">
        <f>VLOOKUP(B2203,辅助信息!E:J,6,FALSE)</f>
        <v>联系实际收货人（彭江涛13990276572）现场要求炉批号控制2个以下，超2个不给予签收。提前联系到场规格及数量</v>
      </c>
      <c r="M2203" s="91">
        <v>45851</v>
      </c>
      <c r="O2203" s="62">
        <f ca="1" t="shared" si="147"/>
        <v>0</v>
      </c>
      <c r="P2203" s="62">
        <f ca="1" t="shared" si="148"/>
        <v>109</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0">
        <v>45850</v>
      </c>
      <c r="D2204" s="40" t="str">
        <f>VLOOKUP(B2204,辅助信息!E:K,7,FALSE)</f>
        <v>JWDDCD2025072900123</v>
      </c>
      <c r="E2204" s="40" t="str">
        <f>VLOOKUP(F2204,辅助信息!A:B,2,FALSE)</f>
        <v>盘螺</v>
      </c>
      <c r="F2204" s="40" t="s">
        <v>41</v>
      </c>
      <c r="G2204" s="36">
        <v>8</v>
      </c>
      <c r="H2204" s="134">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09" t="str">
        <f>VLOOKUP(B2204,辅助信息!E:J,6,FALSE)</f>
        <v>联系实际收货人（彭江涛13990276572）现场要求炉批号控制2个以下，超2个不给予签收。提前联系到场规格及数量</v>
      </c>
      <c r="M2204" s="91">
        <v>45851</v>
      </c>
      <c r="O2204" s="62">
        <f ca="1" t="shared" si="147"/>
        <v>0</v>
      </c>
      <c r="P2204" s="62">
        <f ca="1" t="shared" si="148"/>
        <v>109</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0">
        <v>45850</v>
      </c>
      <c r="D2205" s="40" t="str">
        <f>VLOOKUP(B2205,辅助信息!E:K,7,FALSE)</f>
        <v>JWDDCD2025072900123</v>
      </c>
      <c r="E2205" s="40" t="str">
        <f>VLOOKUP(F2205,辅助信息!A:B,2,FALSE)</f>
        <v>盘螺</v>
      </c>
      <c r="F2205" s="40" t="s">
        <v>26</v>
      </c>
      <c r="G2205" s="36">
        <v>6</v>
      </c>
      <c r="H2205" s="134">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09" t="str">
        <f>VLOOKUP(B2205,辅助信息!E:J,6,FALSE)</f>
        <v>联系实际收货人（彭江涛13990276572）现场要求炉批号控制2个以下，超2个不给予签收。提前联系到场规格及数量</v>
      </c>
      <c r="M2205" s="91">
        <v>45851</v>
      </c>
      <c r="O2205" s="62">
        <f ca="1" t="shared" si="147"/>
        <v>0</v>
      </c>
      <c r="P2205" s="62">
        <f ca="1" t="shared" si="148"/>
        <v>109</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0">
        <v>45850</v>
      </c>
      <c r="D2206" s="40" t="str">
        <f>VLOOKUP(B2206,辅助信息!E:K,7,FALSE)</f>
        <v>JWDDCD2025072900123</v>
      </c>
      <c r="E2206" s="40" t="str">
        <f>VLOOKUP(F2206,辅助信息!A:B,2,FALSE)</f>
        <v>螺纹钢</v>
      </c>
      <c r="F2206" s="40" t="s">
        <v>32</v>
      </c>
      <c r="G2206" s="36">
        <v>3</v>
      </c>
      <c r="H2206" s="134">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09" t="str">
        <f>VLOOKUP(B2206,辅助信息!E:J,6,FALSE)</f>
        <v>联系实际收货人（彭江涛13990276572）现场要求炉批号控制2个以下，超2个不给予签收。提前联系到场规格及数量</v>
      </c>
      <c r="M2206" s="91">
        <v>45851</v>
      </c>
      <c r="O2206" s="62">
        <f ca="1" t="shared" si="147"/>
        <v>0</v>
      </c>
      <c r="P2206" s="62">
        <f ca="1" t="shared" si="148"/>
        <v>109</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0">
        <v>45850</v>
      </c>
      <c r="D2207" s="40" t="str">
        <f>VLOOKUP(B2207,辅助信息!E:K,7,FALSE)</f>
        <v>JWDDCD2025072900123</v>
      </c>
      <c r="E2207" s="40" t="str">
        <f>VLOOKUP(F2207,辅助信息!A:B,2,FALSE)</f>
        <v>螺纹钢</v>
      </c>
      <c r="F2207" s="40" t="s">
        <v>30</v>
      </c>
      <c r="G2207" s="36">
        <f>21-7</f>
        <v>14</v>
      </c>
      <c r="H2207" s="134">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09" t="str">
        <f>VLOOKUP(B2207,辅助信息!E:J,6,FALSE)</f>
        <v>联系实际收货人（彭江涛13990276572）现场要求炉批号控制2个以下，超2个不给予签收。提前联系到场规格及数量</v>
      </c>
      <c r="M2207" s="91">
        <v>45851</v>
      </c>
      <c r="O2207" s="62">
        <f ca="1" t="shared" si="147"/>
        <v>0</v>
      </c>
      <c r="P2207" s="62">
        <f ca="1" t="shared" si="148"/>
        <v>109</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0">
        <v>45850</v>
      </c>
      <c r="D2208" s="40" t="str">
        <f>VLOOKUP(B2208,辅助信息!E:K,7,FALSE)</f>
        <v>JWDDCD2025072900123</v>
      </c>
      <c r="E2208" s="40" t="str">
        <f>VLOOKUP(F2208,辅助信息!A:B,2,FALSE)</f>
        <v>螺纹钢</v>
      </c>
      <c r="F2208" s="40" t="s">
        <v>45</v>
      </c>
      <c r="G2208" s="36">
        <v>4</v>
      </c>
      <c r="H2208" s="134">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09" t="str">
        <f>VLOOKUP(B2208,辅助信息!E:J,6,FALSE)</f>
        <v>联系实际收货人（彭江涛13990276572）现场要求炉批号控制2个以下，超2个不给予签收。提前联系到场规格及数量</v>
      </c>
      <c r="M2208" s="91">
        <v>45851</v>
      </c>
      <c r="O2208" s="62">
        <f ca="1" t="shared" si="147"/>
        <v>0</v>
      </c>
      <c r="P2208" s="62">
        <f ca="1" t="shared" si="148"/>
        <v>109</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0">
        <v>45850</v>
      </c>
      <c r="D2209" s="40" t="str">
        <f>VLOOKUP(B2209,辅助信息!E:K,7,FALSE)</f>
        <v>JWDDCD2025072900123</v>
      </c>
      <c r="E2209" s="40" t="str">
        <f>VLOOKUP(F2209,辅助信息!A:B,2,FALSE)</f>
        <v>螺纹钢</v>
      </c>
      <c r="F2209" s="40" t="s">
        <v>21</v>
      </c>
      <c r="G2209" s="36">
        <v>7</v>
      </c>
      <c r="H2209" s="134">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09" t="str">
        <f>VLOOKUP(B2209,辅助信息!E:J,6,FALSE)</f>
        <v>联系实际收货人（彭江涛13990276572）现场要求炉批号控制2个以下，超2个不给予签收。提前联系到场规格及数量</v>
      </c>
      <c r="M2209" s="91">
        <v>45851</v>
      </c>
      <c r="O2209" s="62">
        <f ca="1" t="shared" si="147"/>
        <v>0</v>
      </c>
      <c r="P2209" s="62">
        <f ca="1" t="shared" si="148"/>
        <v>109</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0">
        <v>45850</v>
      </c>
      <c r="D2210" s="40" t="str">
        <f>VLOOKUP(B2210,辅助信息!E:K,7,FALSE)</f>
        <v>JWDDCD2025072900123</v>
      </c>
      <c r="E2210" s="40" t="str">
        <f>VLOOKUP(F2210,辅助信息!A:B,2,FALSE)</f>
        <v>螺纹钢</v>
      </c>
      <c r="F2210" s="40" t="s">
        <v>58</v>
      </c>
      <c r="G2210" s="36">
        <v>5</v>
      </c>
      <c r="H2210" s="134">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09" t="str">
        <f>VLOOKUP(B2210,辅助信息!E:J,6,FALSE)</f>
        <v>联系实际收货人（彭江涛13990276572）现场要求炉批号控制2个以下，超2个不给予签收。提前联系到场规格及数量</v>
      </c>
      <c r="M2210" s="91">
        <v>45851</v>
      </c>
      <c r="O2210" s="62">
        <f ca="1" t="shared" si="147"/>
        <v>0</v>
      </c>
      <c r="P2210" s="62">
        <f ca="1" t="shared" si="148"/>
        <v>109</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0">
        <v>45850</v>
      </c>
      <c r="D2211" s="40" t="str">
        <f>VLOOKUP(B2211,辅助信息!E:K,7,FALSE)</f>
        <v>JWDDCD2025072900123</v>
      </c>
      <c r="E2211" s="40" t="str">
        <f>VLOOKUP(F2211,辅助信息!A:B,2,FALSE)</f>
        <v>螺纹钢</v>
      </c>
      <c r="F2211" s="40" t="s">
        <v>46</v>
      </c>
      <c r="G2211" s="36">
        <v>12</v>
      </c>
      <c r="H2211" s="134">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09" t="str">
        <f>VLOOKUP(B2211,辅助信息!E:J,6,FALSE)</f>
        <v>联系实际收货人（彭江涛13990276572）现场要求炉批号控制2个以下，超2个不给予签收。提前联系到场规格及数量</v>
      </c>
      <c r="M2211" s="91">
        <v>45851</v>
      </c>
      <c r="O2211" s="62">
        <f ca="1" t="shared" ref="O2211:O2274" si="149">IF(OR(M2211="",N2211&lt;&gt;""),"",MAX(M2211-TODAY(),0))</f>
        <v>0</v>
      </c>
      <c r="P2211" s="62">
        <f ca="1" t="shared" ref="P2211:P2274" si="150">IF(M2211="","",IF(N2211&lt;&gt;"",MAX(N2211-M2211,0),IF(TODAY()&gt;M2211,TODAY()-M2211,0)))</f>
        <v>109</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0">
        <v>45850</v>
      </c>
      <c r="D2212" s="40" t="str">
        <f>VLOOKUP(B2212,辅助信息!E:K,7,FALSE)</f>
        <v>JWDDCD2025072900123</v>
      </c>
      <c r="E2212" s="40" t="str">
        <f>VLOOKUP(F2212,辅助信息!A:B,2,FALSE)</f>
        <v>螺纹钢</v>
      </c>
      <c r="F2212" s="40" t="s">
        <v>22</v>
      </c>
      <c r="G2212" s="36">
        <f>29-17</f>
        <v>12</v>
      </c>
      <c r="H2212" s="134">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09" t="str">
        <f>VLOOKUP(B2212,辅助信息!E:J,6,FALSE)</f>
        <v>联系实际收货人（彭江涛13990276572）现场要求炉批号控制2个以下，超2个不给予签收。提前联系到场规格及数量</v>
      </c>
      <c r="M2212" s="91">
        <v>45851</v>
      </c>
      <c r="O2212" s="62">
        <f ca="1" t="shared" si="149"/>
        <v>0</v>
      </c>
      <c r="P2212" s="62">
        <f ca="1" t="shared" si="150"/>
        <v>109</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0">
        <v>45850</v>
      </c>
      <c r="D2213" s="40" t="str">
        <f>VLOOKUP(B2213,辅助信息!E:K,7,FALSE)</f>
        <v>JWDDCD2025072900123</v>
      </c>
      <c r="E2213" s="40" t="str">
        <f>VLOOKUP(F2213,辅助信息!A:B,2,FALSE)</f>
        <v>螺纹钢</v>
      </c>
      <c r="F2213" s="40" t="s">
        <v>181</v>
      </c>
      <c r="G2213" s="36">
        <v>8</v>
      </c>
      <c r="H2213" s="134">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09" t="str">
        <f>VLOOKUP(B2213,辅助信息!E:J,6,FALSE)</f>
        <v>联系实际收货人（彭江涛13990276572）现场要求炉批号控制2个以下，超2个不给予签收。提前联系到场规格及数量</v>
      </c>
      <c r="M2213" s="91">
        <v>45851</v>
      </c>
      <c r="O2213" s="62">
        <f ca="1" t="shared" si="149"/>
        <v>0</v>
      </c>
      <c r="P2213" s="62">
        <f ca="1" t="shared" si="150"/>
        <v>109</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0">
        <v>45850</v>
      </c>
      <c r="D2214" s="40" t="str">
        <f>VLOOKUP(B2214,辅助信息!E:K,7,FALSE)</f>
        <v>JWDDCD2025072900123</v>
      </c>
      <c r="E2214" s="40" t="str">
        <f>VLOOKUP(F2214,辅助信息!A:B,2,FALSE)</f>
        <v>螺纹钢</v>
      </c>
      <c r="F2214" s="40" t="s">
        <v>182</v>
      </c>
      <c r="G2214" s="36">
        <v>7</v>
      </c>
      <c r="H2214" s="134">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09" t="str">
        <f>VLOOKUP(B2214,辅助信息!E:J,6,FALSE)</f>
        <v>联系实际收货人（彭江涛13990276572）现场要求炉批号控制2个以下，超2个不给予签收。提前联系到场规格及数量</v>
      </c>
      <c r="M2214" s="91">
        <v>45851</v>
      </c>
      <c r="O2214" s="62">
        <f ca="1" t="shared" si="149"/>
        <v>0</v>
      </c>
      <c r="P2214" s="62">
        <f ca="1" t="shared" si="150"/>
        <v>109</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0">
        <v>45850</v>
      </c>
      <c r="D2215" s="40" t="str">
        <f>VLOOKUP(B2215,辅助信息!E:K,7,FALSE)</f>
        <v>JWDDCD2024101600133</v>
      </c>
      <c r="E2215" s="40" t="str">
        <f>VLOOKUP(F2215,辅助信息!A:B,2,FALSE)</f>
        <v>螺纹钢</v>
      </c>
      <c r="F2215" s="40" t="s">
        <v>76</v>
      </c>
      <c r="G2215" s="36">
        <v>6</v>
      </c>
      <c r="H2215" s="134">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09" t="str">
        <f>VLOOKUP(B2215,辅助信息!E:J,6,FALSE)</f>
        <v>提前联系到场规格</v>
      </c>
      <c r="M2215" s="91">
        <v>45851</v>
      </c>
      <c r="O2215" s="62">
        <f ca="1" t="shared" si="149"/>
        <v>0</v>
      </c>
      <c r="P2215" s="62">
        <f ca="1" t="shared" si="150"/>
        <v>109</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0">
        <v>45850</v>
      </c>
      <c r="D2216" s="40" t="str">
        <f>VLOOKUP(B2216,辅助信息!E:K,7,FALSE)</f>
        <v>JWDDCD2024101600133</v>
      </c>
      <c r="E2216" s="40" t="str">
        <f>VLOOKUP(F2216,辅助信息!A:B,2,FALSE)</f>
        <v>螺纹钢</v>
      </c>
      <c r="F2216" s="40" t="s">
        <v>90</v>
      </c>
      <c r="G2216" s="36">
        <v>3</v>
      </c>
      <c r="H2216" s="134">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09" t="str">
        <f>VLOOKUP(B2216,辅助信息!E:J,6,FALSE)</f>
        <v>提前联系到场规格</v>
      </c>
      <c r="M2216" s="91">
        <v>45851</v>
      </c>
      <c r="O2216" s="62">
        <f ca="1" t="shared" si="149"/>
        <v>0</v>
      </c>
      <c r="P2216" s="62">
        <f ca="1" t="shared" si="150"/>
        <v>109</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0">
        <v>45850</v>
      </c>
      <c r="D2217" s="40" t="str">
        <f>VLOOKUP(B2217,辅助信息!E:K,7,FALSE)</f>
        <v>JWDDCD2024101600133</v>
      </c>
      <c r="E2217" s="40" t="str">
        <f>VLOOKUP(F2217,辅助信息!A:B,2,FALSE)</f>
        <v>螺纹钢</v>
      </c>
      <c r="F2217" s="40" t="s">
        <v>138</v>
      </c>
      <c r="G2217" s="36">
        <v>3</v>
      </c>
      <c r="H2217" s="134">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09" t="str">
        <f>VLOOKUP(B2217,辅助信息!E:J,6,FALSE)</f>
        <v>提前联系到场规格</v>
      </c>
      <c r="M2217" s="91">
        <v>45851</v>
      </c>
      <c r="O2217" s="62">
        <f ca="1" t="shared" si="149"/>
        <v>0</v>
      </c>
      <c r="P2217" s="62">
        <f ca="1" t="shared" si="150"/>
        <v>109</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0">
        <v>45850</v>
      </c>
      <c r="D2218" s="40" t="str">
        <f>VLOOKUP(B2218,辅助信息!E:K,7,FALSE)</f>
        <v>JWDDCD2024101600133</v>
      </c>
      <c r="E2218" s="40" t="str">
        <f>VLOOKUP(F2218,辅助信息!A:B,2,FALSE)</f>
        <v>螺纹钢</v>
      </c>
      <c r="F2218" s="40" t="s">
        <v>133</v>
      </c>
      <c r="G2218" s="36">
        <v>3</v>
      </c>
      <c r="H2218" s="134">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09" t="str">
        <f>VLOOKUP(B2218,辅助信息!E:J,6,FALSE)</f>
        <v>提前联系到场规格</v>
      </c>
      <c r="M2218" s="91">
        <v>45851</v>
      </c>
      <c r="O2218" s="62">
        <f ca="1" t="shared" si="149"/>
        <v>0</v>
      </c>
      <c r="P2218" s="62">
        <f ca="1" t="shared" si="150"/>
        <v>109</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0">
        <v>45850</v>
      </c>
      <c r="D2219" s="40" t="str">
        <f>VLOOKUP(B2219,辅助信息!E:K,7,FALSE)</f>
        <v>JWDDCD2024101600133</v>
      </c>
      <c r="E2219" s="40" t="str">
        <f>VLOOKUP(F2219,辅助信息!A:B,2,FALSE)</f>
        <v>螺纹钢</v>
      </c>
      <c r="F2219" s="40" t="s">
        <v>91</v>
      </c>
      <c r="G2219" s="36">
        <v>21</v>
      </c>
      <c r="H2219" s="134">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09" t="str">
        <f>VLOOKUP(B2219,辅助信息!E:J,6,FALSE)</f>
        <v>提前联系到场规格</v>
      </c>
      <c r="M2219" s="91">
        <v>45851</v>
      </c>
      <c r="O2219" s="62">
        <f ca="1" t="shared" si="149"/>
        <v>0</v>
      </c>
      <c r="P2219" s="62">
        <f ca="1" t="shared" si="150"/>
        <v>109</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0">
        <v>45853</v>
      </c>
      <c r="D2220" s="40" t="str">
        <f>VLOOKUP(B2220,辅助信息!E:K,7,FALSE)</f>
        <v>JWDDCD2025052800131</v>
      </c>
      <c r="E2220" s="40" t="str">
        <f>VLOOKUP(F2220,辅助信息!A:B,2,FALSE)</f>
        <v>螺纹钢</v>
      </c>
      <c r="F2220" s="40" t="s">
        <v>66</v>
      </c>
      <c r="G2220" s="36">
        <v>12</v>
      </c>
      <c r="H2220" s="134">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09" t="str">
        <f>VLOOKUP(B2220,辅助信息!E:J,6,FALSE)</f>
        <v>控制炉批号！多了现场不收！,优先安排达钢,提前联系到场规格及数量</v>
      </c>
      <c r="M2220" s="91">
        <v>45853</v>
      </c>
      <c r="O2220" s="62">
        <f ca="1" t="shared" si="149"/>
        <v>0</v>
      </c>
      <c r="P2220" s="62">
        <f ca="1" t="shared" si="150"/>
        <v>107</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0">
        <v>45853</v>
      </c>
      <c r="D2221" s="40" t="str">
        <f>VLOOKUP(B2221,辅助信息!E:K,7,FALSE)</f>
        <v>JWDDCD2025052800131</v>
      </c>
      <c r="E2221" s="40" t="str">
        <f>VLOOKUP(F2221,辅助信息!A:B,2,FALSE)</f>
        <v>螺纹钢</v>
      </c>
      <c r="F2221" s="40" t="s">
        <v>45</v>
      </c>
      <c r="G2221" s="36">
        <v>6</v>
      </c>
      <c r="H2221" s="134">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09" t="str">
        <f>VLOOKUP(B2221,辅助信息!E:J,6,FALSE)</f>
        <v>控制炉批号！多了现场不收！,优先安排达钢,提前联系到场规格及数量</v>
      </c>
      <c r="M2221" s="91">
        <v>45853</v>
      </c>
      <c r="O2221" s="62">
        <f ca="1" t="shared" si="149"/>
        <v>0</v>
      </c>
      <c r="P2221" s="62">
        <f ca="1" t="shared" si="150"/>
        <v>107</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0">
        <v>45853</v>
      </c>
      <c r="D2222" s="40" t="str">
        <f>VLOOKUP(B2222,辅助信息!E:K,7,FALSE)</f>
        <v>JWDDCD2025052800131</v>
      </c>
      <c r="E2222" s="40" t="str">
        <f>VLOOKUP(F2222,辅助信息!A:B,2,FALSE)</f>
        <v>螺纹钢</v>
      </c>
      <c r="F2222" s="40" t="s">
        <v>21</v>
      </c>
      <c r="G2222" s="36">
        <v>6</v>
      </c>
      <c r="H2222" s="134"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09" t="str">
        <f>VLOOKUP(B2222,辅助信息!E:J,6,FALSE)</f>
        <v>控制炉批号！多了现场不收！,优先安排达钢,提前联系到场规格及数量</v>
      </c>
      <c r="M2222" s="91">
        <v>45853</v>
      </c>
      <c r="O2222" s="62">
        <f ca="1" t="shared" si="149"/>
        <v>0</v>
      </c>
      <c r="P2222" s="62">
        <f ca="1" t="shared" si="150"/>
        <v>107</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0">
        <v>45853</v>
      </c>
      <c r="D2223" s="40" t="str">
        <f>VLOOKUP(B2223,辅助信息!E:K,7,FALSE)</f>
        <v>JWDDCD2025052800131</v>
      </c>
      <c r="E2223" s="40" t="str">
        <f>VLOOKUP(F2223,辅助信息!A:B,2,FALSE)</f>
        <v>螺纹钢</v>
      </c>
      <c r="F2223" s="40" t="s">
        <v>58</v>
      </c>
      <c r="G2223" s="36">
        <v>12</v>
      </c>
      <c r="H2223" s="134">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09" t="str">
        <f>VLOOKUP(B2223,辅助信息!E:J,6,FALSE)</f>
        <v>控制炉批号！多了现场不收！,优先安排达钢,提前联系到场规格及数量</v>
      </c>
      <c r="M2223" s="91">
        <v>45853</v>
      </c>
      <c r="O2223" s="62">
        <f ca="1" t="shared" si="149"/>
        <v>0</v>
      </c>
      <c r="P2223" s="62">
        <f ca="1" t="shared" si="150"/>
        <v>107</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0">
        <v>45853</v>
      </c>
      <c r="D2224" s="40" t="str">
        <f>VLOOKUP(B2224,辅助信息!E:K,7,FALSE)</f>
        <v>JWDDCD2025052800131</v>
      </c>
      <c r="E2224" s="40" t="str">
        <f>VLOOKUP(F2224,辅助信息!A:B,2,FALSE)</f>
        <v>螺纹钢</v>
      </c>
      <c r="F2224" s="40" t="s">
        <v>22</v>
      </c>
      <c r="G2224" s="36">
        <v>21</v>
      </c>
      <c r="H2224" s="134">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09" t="str">
        <f>VLOOKUP(B2224,辅助信息!E:J,6,FALSE)</f>
        <v>控制炉批号！多了现场不收！,优先安排达钢,提前联系到场规格及数量</v>
      </c>
      <c r="M2224" s="91">
        <v>45853</v>
      </c>
      <c r="O2224" s="62">
        <f ca="1" t="shared" si="149"/>
        <v>0</v>
      </c>
      <c r="P2224" s="62">
        <f ca="1" t="shared" si="150"/>
        <v>107</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0">
        <v>45853</v>
      </c>
      <c r="D2225" s="40" t="str">
        <f>VLOOKUP(B2225,辅助信息!E:K,7,FALSE)</f>
        <v>JWDDCD2025052800131</v>
      </c>
      <c r="E2225" s="40" t="str">
        <f>VLOOKUP(F2225,辅助信息!A:B,2,FALSE)</f>
        <v>盘螺</v>
      </c>
      <c r="F2225" s="40" t="s">
        <v>40</v>
      </c>
      <c r="G2225" s="36">
        <v>15</v>
      </c>
      <c r="H2225" s="134">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09" t="str">
        <f>VLOOKUP(B2225,辅助信息!E:J,6,FALSE)</f>
        <v>控制炉批号！多了现场不收！,优先安排达钢,提前联系到场规格及数量</v>
      </c>
      <c r="M2225" s="91">
        <v>45853</v>
      </c>
      <c r="O2225" s="62">
        <f ca="1" t="shared" si="149"/>
        <v>0</v>
      </c>
      <c r="P2225" s="62">
        <f ca="1" t="shared" si="150"/>
        <v>107</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0">
        <v>45853</v>
      </c>
      <c r="D2226" s="40" t="str">
        <f>VLOOKUP(B2226,辅助信息!E:K,7,FALSE)</f>
        <v>JWDDCD2025052800131</v>
      </c>
      <c r="E2226" s="40" t="str">
        <f>VLOOKUP(F2226,辅助信息!A:B,2,FALSE)</f>
        <v>盘螺</v>
      </c>
      <c r="F2226" s="40" t="s">
        <v>41</v>
      </c>
      <c r="G2226" s="36">
        <v>5</v>
      </c>
      <c r="H2226" s="134">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09" t="str">
        <f>VLOOKUP(B2226,辅助信息!E:J,6,FALSE)</f>
        <v>控制炉批号！多了现场不收！,优先安排达钢,提前联系到场规格及数量</v>
      </c>
      <c r="M2226" s="91"/>
      <c r="O2226" s="62" t="str">
        <f ca="1" t="shared" si="149"/>
        <v/>
      </c>
      <c r="P2226" s="62"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0">
        <v>45853</v>
      </c>
      <c r="D2227" s="40" t="str">
        <f>VLOOKUP(B2227,辅助信息!E:K,7,FALSE)</f>
        <v>JWDDCD2025052800131</v>
      </c>
      <c r="E2227" s="40" t="str">
        <f>VLOOKUP(F2227,辅助信息!A:B,2,FALSE)</f>
        <v>螺纹钢</v>
      </c>
      <c r="F2227" s="40" t="s">
        <v>30</v>
      </c>
      <c r="G2227" s="36">
        <v>9</v>
      </c>
      <c r="H2227" s="134"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09" t="str">
        <f>VLOOKUP(B2227,辅助信息!E:J,6,FALSE)</f>
        <v>控制炉批号！多了现场不收！,优先安排达钢,提前联系到场规格及数量</v>
      </c>
      <c r="M2227" s="91">
        <v>45853</v>
      </c>
      <c r="O2227" s="62">
        <f ca="1" t="shared" si="149"/>
        <v>0</v>
      </c>
      <c r="P2227" s="62">
        <f ca="1" t="shared" si="150"/>
        <v>107</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0">
        <v>45853</v>
      </c>
      <c r="D2228" s="40" t="str">
        <f>VLOOKUP(B2228,辅助信息!E:K,7,FALSE)</f>
        <v>JWDDCD2025052800131</v>
      </c>
      <c r="E2228" s="40" t="str">
        <f>VLOOKUP(F2228,辅助信息!A:B,2,FALSE)</f>
        <v>螺纹钢</v>
      </c>
      <c r="F2228" s="40" t="s">
        <v>33</v>
      </c>
      <c r="G2228" s="36">
        <v>3</v>
      </c>
      <c r="H2228" s="134">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09" t="str">
        <f>VLOOKUP(B2228,辅助信息!E:J,6,FALSE)</f>
        <v>控制炉批号！多了现场不收！,优先安排达钢,提前联系到场规格及数量</v>
      </c>
      <c r="M2228" s="91">
        <v>45853</v>
      </c>
      <c r="O2228" s="62">
        <f ca="1" t="shared" si="149"/>
        <v>0</v>
      </c>
      <c r="P2228" s="62">
        <f ca="1" t="shared" si="150"/>
        <v>107</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0">
        <v>45853</v>
      </c>
      <c r="D2229" s="40" t="str">
        <f>VLOOKUP(B2229,辅助信息!E:K,7,FALSE)</f>
        <v>JWDDCD2025052800131</v>
      </c>
      <c r="E2229" s="40" t="str">
        <f>VLOOKUP(F2229,辅助信息!A:B,2,FALSE)</f>
        <v>螺纹钢</v>
      </c>
      <c r="F2229" s="40" t="s">
        <v>18</v>
      </c>
      <c r="G2229" s="36">
        <v>12</v>
      </c>
      <c r="H2229" s="134">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09" t="str">
        <f>VLOOKUP(B2229,辅助信息!E:J,6,FALSE)</f>
        <v>控制炉批号！多了现场不收！,优先安排达钢,提前联系到场规格及数量</v>
      </c>
      <c r="M2229" s="91">
        <v>45853</v>
      </c>
      <c r="O2229" s="62">
        <f ca="1" t="shared" si="149"/>
        <v>0</v>
      </c>
      <c r="P2229" s="62">
        <f ca="1" t="shared" si="150"/>
        <v>107</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1" t="s">
        <v>191</v>
      </c>
      <c r="B2230" s="135" t="s">
        <v>156</v>
      </c>
      <c r="C2230" s="70">
        <v>45853</v>
      </c>
      <c r="D2230" s="40" t="e">
        <f>VLOOKUP(B2230,辅助信息!E:K,7,FALSE)</f>
        <v>#N/A</v>
      </c>
      <c r="E2230" s="40" t="str">
        <f>VLOOKUP(F2230,辅助信息!A:B,2,FALSE)</f>
        <v>螺纹钢</v>
      </c>
      <c r="F2230" s="40" t="s">
        <v>27</v>
      </c>
      <c r="G2230" s="36">
        <v>3</v>
      </c>
      <c r="H2230" s="134"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09" t="e">
        <f>VLOOKUP(B2230,辅助信息!E:J,6,FALSE)</f>
        <v>#N/A</v>
      </c>
      <c r="M2230" s="91">
        <v>45855</v>
      </c>
      <c r="O2230" s="62">
        <f ca="1" t="shared" si="149"/>
        <v>0</v>
      </c>
      <c r="P2230" s="62">
        <f ca="1" t="shared" si="150"/>
        <v>105</v>
      </c>
      <c r="Q2230" s="29" t="e">
        <f>VLOOKUP(B2230,辅助信息!E:M,9,FALSE)</f>
        <v>#N/A</v>
      </c>
      <c r="R2230" s="29" vm="1" t="e">
        <f>_xlfn._xlws.FILTER(辅助信息!D:D,辅助信息!E:E=B2230)</f>
        <v>#VALUE!</v>
      </c>
    </row>
    <row r="2231" hidden="1" spans="1:18">
      <c r="A2231" s="71"/>
      <c r="B2231" s="135" t="s">
        <v>156</v>
      </c>
      <c r="C2231" s="70">
        <v>45853</v>
      </c>
      <c r="D2231" s="40" t="e">
        <f>VLOOKUP(B2231,辅助信息!E:K,7,FALSE)</f>
        <v>#N/A</v>
      </c>
      <c r="E2231" s="40" t="str">
        <f>VLOOKUP(F2231,辅助信息!A:B,2,FALSE)</f>
        <v>螺纹钢</v>
      </c>
      <c r="F2231" s="40" t="s">
        <v>19</v>
      </c>
      <c r="G2231" s="36">
        <v>8</v>
      </c>
      <c r="H2231" s="134"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09" t="e">
        <f>VLOOKUP(B2231,辅助信息!E:J,6,FALSE)</f>
        <v>#N/A</v>
      </c>
      <c r="M2231" s="91">
        <v>45855</v>
      </c>
      <c r="O2231" s="62">
        <f ca="1" t="shared" si="149"/>
        <v>0</v>
      </c>
      <c r="P2231" s="62">
        <f ca="1" t="shared" si="150"/>
        <v>105</v>
      </c>
      <c r="Q2231" s="29" t="e">
        <f>VLOOKUP(B2231,辅助信息!E:M,9,FALSE)</f>
        <v>#N/A</v>
      </c>
      <c r="R2231" s="29" vm="1" t="e">
        <f>_xlfn._xlws.FILTER(辅助信息!D:D,辅助信息!E:E=B2231)</f>
        <v>#VALUE!</v>
      </c>
    </row>
    <row r="2232" hidden="1" spans="1:18">
      <c r="A2232" s="71"/>
      <c r="B2232" s="135" t="s">
        <v>156</v>
      </c>
      <c r="C2232" s="70">
        <v>45853</v>
      </c>
      <c r="D2232" s="40" t="e">
        <f>VLOOKUP(B2232,辅助信息!E:K,7,FALSE)</f>
        <v>#N/A</v>
      </c>
      <c r="E2232" s="40" t="str">
        <f>VLOOKUP(F2232,辅助信息!A:B,2,FALSE)</f>
        <v>螺纹钢</v>
      </c>
      <c r="F2232" s="40" t="s">
        <v>30</v>
      </c>
      <c r="G2232" s="36">
        <v>17</v>
      </c>
      <c r="H2232" s="134"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09" t="e">
        <f>VLOOKUP(B2232,辅助信息!E:J,6,FALSE)</f>
        <v>#N/A</v>
      </c>
      <c r="M2232" s="91">
        <v>45855</v>
      </c>
      <c r="O2232" s="62">
        <f ca="1" t="shared" si="149"/>
        <v>0</v>
      </c>
      <c r="P2232" s="62">
        <f ca="1" t="shared" si="150"/>
        <v>105</v>
      </c>
      <c r="Q2232" s="29" t="e">
        <f>VLOOKUP(B2232,辅助信息!E:M,9,FALSE)</f>
        <v>#N/A</v>
      </c>
      <c r="R2232" s="29" vm="1" t="e">
        <f>_xlfn._xlws.FILTER(辅助信息!D:D,辅助信息!E:E=B2232)</f>
        <v>#VALUE!</v>
      </c>
    </row>
    <row r="2233" hidden="1" spans="1:18">
      <c r="A2233" s="71"/>
      <c r="B2233" s="135" t="s">
        <v>156</v>
      </c>
      <c r="C2233" s="70">
        <v>45853</v>
      </c>
      <c r="D2233" s="40" t="e">
        <f>VLOOKUP(B2233,辅助信息!E:K,7,FALSE)</f>
        <v>#N/A</v>
      </c>
      <c r="E2233" s="40" t="str">
        <f>VLOOKUP(F2233,辅助信息!A:B,2,FALSE)</f>
        <v>螺纹钢</v>
      </c>
      <c r="F2233" s="40" t="s">
        <v>18</v>
      </c>
      <c r="G2233" s="36">
        <v>8</v>
      </c>
      <c r="H2233" s="134"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09" t="e">
        <f>VLOOKUP(B2233,辅助信息!E:J,6,FALSE)</f>
        <v>#N/A</v>
      </c>
      <c r="M2233" s="91">
        <v>45855</v>
      </c>
      <c r="O2233" s="62">
        <f ca="1" t="shared" si="149"/>
        <v>0</v>
      </c>
      <c r="P2233" s="62">
        <f ca="1" t="shared" si="150"/>
        <v>105</v>
      </c>
      <c r="Q2233" s="29" t="e">
        <f>VLOOKUP(B2233,辅助信息!E:M,9,FALSE)</f>
        <v>#N/A</v>
      </c>
      <c r="R2233" s="29" vm="1" t="e">
        <f>_xlfn._xlws.FILTER(辅助信息!D:D,辅助信息!E:E=B2233)</f>
        <v>#VALUE!</v>
      </c>
    </row>
    <row r="2234" hidden="1" spans="2:18">
      <c r="B2234" s="136" t="s">
        <v>47</v>
      </c>
      <c r="C2234" s="70">
        <v>45853</v>
      </c>
      <c r="D2234" s="120" t="str">
        <f>VLOOKUP(B2234,辅助信息!E:K,7,FALSE)</f>
        <v>JWDDCD2025052800131</v>
      </c>
      <c r="E2234" s="120" t="str">
        <f>VLOOKUP(F2234,辅助信息!A:B,2,FALSE)</f>
        <v>螺纹钢</v>
      </c>
      <c r="F2234" s="120" t="s">
        <v>66</v>
      </c>
      <c r="G2234" s="121">
        <v>6</v>
      </c>
      <c r="H2234" s="134" t="str">
        <f>_xlfn.XLOOKUP(C2234&amp;F2234&amp;I2234&amp;J2234,'[1]2025年已发货'!$F:$F&amp;'[1]2025年已发货'!$C:$C&amp;'[1]2025年已发货'!$G:$G&amp;'[1]2025年已发货'!$H:$H,'[1]2025年已发货'!$E:$E,"未发货")</f>
        <v>未发货</v>
      </c>
      <c r="I2234" s="120" t="str">
        <f>VLOOKUP(B2234,辅助信息!E:I,3,FALSE)</f>
        <v>（商投建工达州中医药科技园-1工区）达州市通川区达州中医药职业学院犀牛大道北段</v>
      </c>
      <c r="J2234" s="120" t="str">
        <f>VLOOKUP(B2234,辅助信息!E:I,4,FALSE)</f>
        <v>程黄刚</v>
      </c>
      <c r="K2234" s="120">
        <f>VLOOKUP(J2234,辅助信息!H:I,2,FALSE)</f>
        <v>15108211617</v>
      </c>
      <c r="L2234" s="122" t="str">
        <f>VLOOKUP(B2234,辅助信息!E:J,6,FALSE)</f>
        <v>控制炉批号！多了现场不收！,优先安排达钢,提前联系到场规格及数量</v>
      </c>
      <c r="M2234" s="91">
        <v>45855</v>
      </c>
      <c r="O2234" s="62">
        <f ca="1" t="shared" si="149"/>
        <v>0</v>
      </c>
      <c r="P2234" s="62">
        <f ca="1" t="shared" si="150"/>
        <v>105</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6" t="s">
        <v>47</v>
      </c>
      <c r="C2235" s="70">
        <v>45853</v>
      </c>
      <c r="D2235" s="120" t="str">
        <f>VLOOKUP(B2235,辅助信息!E:K,7,FALSE)</f>
        <v>JWDDCD2025052800131</v>
      </c>
      <c r="E2235" s="120" t="str">
        <f>VLOOKUP(F2235,辅助信息!A:B,2,FALSE)</f>
        <v>螺纹钢</v>
      </c>
      <c r="F2235" s="120" t="s">
        <v>45</v>
      </c>
      <c r="G2235" s="121">
        <v>6</v>
      </c>
      <c r="H2235" s="134" t="str">
        <f>_xlfn.XLOOKUP(C2235&amp;F2235&amp;I2235&amp;J2235,'[1]2025年已发货'!$F:$F&amp;'[1]2025年已发货'!$C:$C&amp;'[1]2025年已发货'!$G:$G&amp;'[1]2025年已发货'!$H:$H,'[1]2025年已发货'!$E:$E,"未发货")</f>
        <v>未发货</v>
      </c>
      <c r="I2235" s="120" t="str">
        <f>VLOOKUP(B2235,辅助信息!E:I,3,FALSE)</f>
        <v>（商投建工达州中医药科技园-1工区）达州市通川区达州中医药职业学院犀牛大道北段</v>
      </c>
      <c r="J2235" s="120" t="str">
        <f>VLOOKUP(B2235,辅助信息!E:I,4,FALSE)</f>
        <v>程黄刚</v>
      </c>
      <c r="K2235" s="120">
        <f>VLOOKUP(J2235,辅助信息!H:I,2,FALSE)</f>
        <v>15108211617</v>
      </c>
      <c r="L2235" s="122" t="str">
        <f>VLOOKUP(B2235,辅助信息!E:J,6,FALSE)</f>
        <v>控制炉批号！多了现场不收！,优先安排达钢,提前联系到场规格及数量</v>
      </c>
      <c r="M2235" s="91">
        <v>45855</v>
      </c>
      <c r="O2235" s="62">
        <f ca="1" t="shared" si="149"/>
        <v>0</v>
      </c>
      <c r="P2235" s="62">
        <f ca="1" t="shared" si="150"/>
        <v>105</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6" t="s">
        <v>47</v>
      </c>
      <c r="C2236" s="70">
        <v>45853</v>
      </c>
      <c r="D2236" s="120" t="str">
        <f>VLOOKUP(B2236,辅助信息!E:K,7,FALSE)</f>
        <v>JWDDCD2025052800131</v>
      </c>
      <c r="E2236" s="120" t="str">
        <f>VLOOKUP(F2236,辅助信息!A:B,2,FALSE)</f>
        <v>螺纹钢</v>
      </c>
      <c r="F2236" s="120" t="s">
        <v>21</v>
      </c>
      <c r="G2236" s="121">
        <v>6</v>
      </c>
      <c r="H2236" s="134" t="str">
        <f>_xlfn.XLOOKUP(C2236&amp;F2236&amp;I2236&amp;J2236,'[1]2025年已发货'!$F:$F&amp;'[1]2025年已发货'!$C:$C&amp;'[1]2025年已发货'!$G:$G&amp;'[1]2025年已发货'!$H:$H,'[1]2025年已发货'!$E:$E,"未发货")</f>
        <v>未发货</v>
      </c>
      <c r="I2236" s="120" t="str">
        <f>VLOOKUP(B2236,辅助信息!E:I,3,FALSE)</f>
        <v>（商投建工达州中医药科技园-1工区）达州市通川区达州中医药职业学院犀牛大道北段</v>
      </c>
      <c r="J2236" s="120" t="str">
        <f>VLOOKUP(B2236,辅助信息!E:I,4,FALSE)</f>
        <v>程黄刚</v>
      </c>
      <c r="K2236" s="120">
        <f>VLOOKUP(J2236,辅助信息!H:I,2,FALSE)</f>
        <v>15108211617</v>
      </c>
      <c r="L2236" s="122" t="str">
        <f>VLOOKUP(B2236,辅助信息!E:J,6,FALSE)</f>
        <v>控制炉批号！多了现场不收！,优先安排达钢,提前联系到场规格及数量</v>
      </c>
      <c r="M2236" s="91">
        <v>45855</v>
      </c>
      <c r="O2236" s="62">
        <f ca="1" t="shared" si="149"/>
        <v>0</v>
      </c>
      <c r="P2236" s="62">
        <f ca="1" t="shared" si="150"/>
        <v>105</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6" t="s">
        <v>47</v>
      </c>
      <c r="C2237" s="70">
        <v>45853</v>
      </c>
      <c r="D2237" s="120" t="str">
        <f>VLOOKUP(B2237,辅助信息!E:K,7,FALSE)</f>
        <v>JWDDCD2025052800131</v>
      </c>
      <c r="E2237" s="120" t="str">
        <f>VLOOKUP(F2237,辅助信息!A:B,2,FALSE)</f>
        <v>螺纹钢</v>
      </c>
      <c r="F2237" s="120" t="s">
        <v>46</v>
      </c>
      <c r="G2237" s="121">
        <v>17</v>
      </c>
      <c r="H2237" s="134" t="str">
        <f>_xlfn.XLOOKUP(C2237&amp;F2237&amp;I2237&amp;J2237,'[1]2025年已发货'!$F:$F&amp;'[1]2025年已发货'!$C:$C&amp;'[1]2025年已发货'!$G:$G&amp;'[1]2025年已发货'!$H:$H,'[1]2025年已发货'!$E:$E,"未发货")</f>
        <v>未发货</v>
      </c>
      <c r="I2237" s="120" t="str">
        <f>VLOOKUP(B2237,辅助信息!E:I,3,FALSE)</f>
        <v>（商投建工达州中医药科技园-1工区）达州市通川区达州中医药职业学院犀牛大道北段</v>
      </c>
      <c r="J2237" s="120" t="str">
        <f>VLOOKUP(B2237,辅助信息!E:I,4,FALSE)</f>
        <v>程黄刚</v>
      </c>
      <c r="K2237" s="120">
        <f>VLOOKUP(J2237,辅助信息!H:I,2,FALSE)</f>
        <v>15108211617</v>
      </c>
      <c r="L2237" s="122" t="str">
        <f>VLOOKUP(B2237,辅助信息!E:J,6,FALSE)</f>
        <v>控制炉批号！多了现场不收！,优先安排达钢,提前联系到场规格及数量</v>
      </c>
      <c r="M2237" s="91">
        <v>45855</v>
      </c>
      <c r="O2237" s="62">
        <f ca="1" t="shared" si="149"/>
        <v>0</v>
      </c>
      <c r="P2237" s="62">
        <f ca="1" t="shared" si="150"/>
        <v>105</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0">
        <v>45853</v>
      </c>
      <c r="D2238" s="40" t="str">
        <f>VLOOKUP(B2238,辅助信息!E:K,7,FALSE)</f>
        <v>JWDDCD2025102100475</v>
      </c>
      <c r="E2238" s="40" t="str">
        <f>VLOOKUP(F2238,辅助信息!A:B,2,FALSE)</f>
        <v>盘螺</v>
      </c>
      <c r="F2238" s="40" t="s">
        <v>40</v>
      </c>
      <c r="G2238" s="36">
        <v>5</v>
      </c>
      <c r="H2238" s="134"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09"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1">
        <v>45855</v>
      </c>
      <c r="O2238" s="62">
        <f ca="1" t="shared" si="149"/>
        <v>0</v>
      </c>
      <c r="P2238" s="62">
        <f ca="1" t="shared" si="150"/>
        <v>105</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0">
        <v>45853</v>
      </c>
      <c r="D2239" s="40" t="str">
        <f>VLOOKUP(B2239,辅助信息!E:K,7,FALSE)</f>
        <v>JWDDCD2025102100475</v>
      </c>
      <c r="E2239" s="40" t="str">
        <f>VLOOKUP(F2239,辅助信息!A:B,2,FALSE)</f>
        <v>盘螺</v>
      </c>
      <c r="F2239" s="40" t="s">
        <v>41</v>
      </c>
      <c r="G2239" s="36">
        <v>25</v>
      </c>
      <c r="H2239" s="134"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09"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1">
        <v>45855</v>
      </c>
      <c r="O2239" s="62">
        <f ca="1" t="shared" si="149"/>
        <v>0</v>
      </c>
      <c r="P2239" s="62">
        <f ca="1" t="shared" si="150"/>
        <v>105</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0">
        <v>45853</v>
      </c>
      <c r="D2240" s="40" t="str">
        <f>VLOOKUP(B2240,辅助信息!E:K,7,FALSE)</f>
        <v>JWDDCD2025102100475</v>
      </c>
      <c r="E2240" s="40" t="str">
        <f>VLOOKUP(F2240,辅助信息!A:B,2,FALSE)</f>
        <v>螺纹钢</v>
      </c>
      <c r="F2240" s="40" t="s">
        <v>27</v>
      </c>
      <c r="G2240" s="36">
        <v>6</v>
      </c>
      <c r="H2240" s="134"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09"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1">
        <v>45855</v>
      </c>
      <c r="O2240" s="62">
        <f ca="1" t="shared" si="149"/>
        <v>0</v>
      </c>
      <c r="P2240" s="62">
        <f ca="1" t="shared" si="150"/>
        <v>105</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0">
        <v>45853</v>
      </c>
      <c r="D2241" s="40" t="str">
        <f>VLOOKUP(B2241,辅助信息!E:K,7,FALSE)</f>
        <v>JWDDCD2025102100475</v>
      </c>
      <c r="E2241" s="40" t="str">
        <f>VLOOKUP(F2241,辅助信息!A:B,2,FALSE)</f>
        <v>螺纹钢</v>
      </c>
      <c r="F2241" s="40" t="s">
        <v>19</v>
      </c>
      <c r="G2241" s="36">
        <v>9</v>
      </c>
      <c r="H2241" s="134"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09"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1">
        <v>45855</v>
      </c>
      <c r="O2241" s="62">
        <f ca="1" t="shared" si="149"/>
        <v>0</v>
      </c>
      <c r="P2241" s="62">
        <f ca="1" t="shared" si="150"/>
        <v>105</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0">
        <v>45853</v>
      </c>
      <c r="D2242" s="40" t="str">
        <f>VLOOKUP(B2242,辅助信息!E:K,7,FALSE)</f>
        <v>JWDDCD2025102100475</v>
      </c>
      <c r="E2242" s="40" t="str">
        <f>VLOOKUP(F2242,辅助信息!A:B,2,FALSE)</f>
        <v>螺纹钢</v>
      </c>
      <c r="F2242" s="40" t="s">
        <v>32</v>
      </c>
      <c r="G2242" s="36">
        <v>6</v>
      </c>
      <c r="H2242" s="134"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09"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1">
        <v>45855</v>
      </c>
      <c r="O2242" s="62">
        <f ca="1" t="shared" si="149"/>
        <v>0</v>
      </c>
      <c r="P2242" s="62">
        <f ca="1" t="shared" si="150"/>
        <v>105</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0">
        <v>45853</v>
      </c>
      <c r="D2243" s="40" t="str">
        <f>VLOOKUP(B2243,辅助信息!E:K,7,FALSE)</f>
        <v>JWDDCD2025102100475</v>
      </c>
      <c r="E2243" s="40" t="str">
        <f>VLOOKUP(F2243,辅助信息!A:B,2,FALSE)</f>
        <v>螺纹钢</v>
      </c>
      <c r="F2243" s="40" t="s">
        <v>30</v>
      </c>
      <c r="G2243" s="36">
        <v>6</v>
      </c>
      <c r="H2243" s="134"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09"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1">
        <v>45855</v>
      </c>
      <c r="O2243" s="62">
        <f ca="1" t="shared" si="149"/>
        <v>0</v>
      </c>
      <c r="P2243" s="62">
        <f ca="1" t="shared" si="150"/>
        <v>105</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0">
        <v>45853</v>
      </c>
      <c r="D2244" s="40" t="str">
        <f>VLOOKUP(B2244,辅助信息!E:K,7,FALSE)</f>
        <v>JWDDCD2025102100475</v>
      </c>
      <c r="E2244" s="40" t="str">
        <f>VLOOKUP(F2244,辅助信息!A:B,2,FALSE)</f>
        <v>螺纹钢</v>
      </c>
      <c r="F2244" s="40" t="s">
        <v>33</v>
      </c>
      <c r="G2244" s="36">
        <v>3</v>
      </c>
      <c r="H2244" s="134"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09"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1">
        <v>45855</v>
      </c>
      <c r="O2244" s="62">
        <f ca="1" t="shared" si="149"/>
        <v>0</v>
      </c>
      <c r="P2244" s="62">
        <f ca="1" t="shared" si="150"/>
        <v>105</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0">
        <v>45853</v>
      </c>
      <c r="D2245" s="40" t="str">
        <f>VLOOKUP(B2245,辅助信息!E:K,7,FALSE)</f>
        <v>JWDDCD2025102100475</v>
      </c>
      <c r="E2245" s="40" t="str">
        <f>VLOOKUP(F2245,辅助信息!A:B,2,FALSE)</f>
        <v>螺纹钢</v>
      </c>
      <c r="F2245" s="40" t="s">
        <v>28</v>
      </c>
      <c r="G2245" s="36">
        <v>6</v>
      </c>
      <c r="H2245" s="134"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09"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1">
        <v>45855</v>
      </c>
      <c r="O2245" s="62">
        <f ca="1" t="shared" si="149"/>
        <v>0</v>
      </c>
      <c r="P2245" s="62">
        <f ca="1" t="shared" si="150"/>
        <v>105</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0">
        <v>45854</v>
      </c>
      <c r="D2246" s="40" t="str">
        <f>VLOOKUP(B2246,辅助信息!E:K,7,FALSE)</f>
        <v>JWDDCD2025052800131</v>
      </c>
      <c r="E2246" s="40" t="str">
        <f>VLOOKUP(F2246,辅助信息!A:B,2,FALSE)</f>
        <v>盘螺</v>
      </c>
      <c r="F2246" s="40" t="s">
        <v>40</v>
      </c>
      <c r="G2246" s="36">
        <v>8</v>
      </c>
      <c r="H2246" s="134"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09" t="str">
        <f>VLOOKUP(B2246,辅助信息!E:J,6,FALSE)</f>
        <v>控制炉批号！多了现场不收！,优先安排达钢,提前联系到场规格及数量</v>
      </c>
      <c r="M2246" s="91"/>
      <c r="O2246" s="62" t="str">
        <f ca="1" t="shared" si="149"/>
        <v/>
      </c>
      <c r="P2246" s="62"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0" t="s">
        <v>180</v>
      </c>
      <c r="C2247" s="70">
        <v>45854</v>
      </c>
      <c r="D2247" s="120" t="str">
        <f>VLOOKUP(B2247,辅助信息!E:K,7,FALSE)</f>
        <v>JWDDCD2025052800131</v>
      </c>
      <c r="E2247" s="120" t="str">
        <f>VLOOKUP(F2247,辅助信息!A:B,2,FALSE)</f>
        <v>螺纹钢</v>
      </c>
      <c r="F2247" s="120" t="s">
        <v>30</v>
      </c>
      <c r="G2247" s="121">
        <v>12</v>
      </c>
      <c r="H2247" s="134" t="str">
        <f>_xlfn.XLOOKUP(C2247&amp;F2247&amp;I2247&amp;J2247,'[1]2025年已发货'!$F:$F&amp;'[1]2025年已发货'!$C:$C&amp;'[1]2025年已发货'!$G:$G&amp;'[1]2025年已发货'!$H:$H,'[1]2025年已发货'!$E:$E,"未发货")</f>
        <v>未发货</v>
      </c>
      <c r="I2247" s="120" t="str">
        <f>VLOOKUP(B2247,辅助信息!E:I,3,FALSE)</f>
        <v>（商投建工达州中医药科技园-4工区-8号楼）达州市通川区达州中医药职业学院犀牛大道北段</v>
      </c>
      <c r="J2247" s="120" t="str">
        <f>VLOOKUP(B2247,辅助信息!E:I,4,FALSE)</f>
        <v>张扬</v>
      </c>
      <c r="K2247" s="120">
        <f>VLOOKUP(J2247,辅助信息!H:I,2,FALSE)</f>
        <v>18381904567</v>
      </c>
      <c r="L2247" s="122" t="str">
        <f>VLOOKUP(B2247,辅助信息!E:J,6,FALSE)</f>
        <v>控制炉批号！多了现场不收！,优先安排达钢,提前联系到场规格及数量</v>
      </c>
      <c r="M2247" s="91"/>
      <c r="O2247" s="62" t="str">
        <f ca="1" t="shared" si="149"/>
        <v/>
      </c>
      <c r="P2247" s="62"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0" t="s">
        <v>180</v>
      </c>
      <c r="C2248" s="70">
        <v>45854</v>
      </c>
      <c r="D2248" s="120" t="str">
        <f>VLOOKUP(B2248,辅助信息!E:K,7,FALSE)</f>
        <v>JWDDCD2025052800131</v>
      </c>
      <c r="E2248" s="120" t="str">
        <f>VLOOKUP(F2248,辅助信息!A:B,2,FALSE)</f>
        <v>螺纹钢</v>
      </c>
      <c r="F2248" s="120" t="s">
        <v>28</v>
      </c>
      <c r="G2248" s="121">
        <v>6</v>
      </c>
      <c r="H2248" s="134" t="str">
        <f>_xlfn.XLOOKUP(C2248&amp;F2248&amp;I2248&amp;J2248,'[1]2025年已发货'!$F:$F&amp;'[1]2025年已发货'!$C:$C&amp;'[1]2025年已发货'!$G:$G&amp;'[1]2025年已发货'!$H:$H,'[1]2025年已发货'!$E:$E,"未发货")</f>
        <v>未发货</v>
      </c>
      <c r="I2248" s="120" t="str">
        <f>VLOOKUP(B2248,辅助信息!E:I,3,FALSE)</f>
        <v>（商投建工达州中医药科技园-4工区-8号楼）达州市通川区达州中医药职业学院犀牛大道北段</v>
      </c>
      <c r="J2248" s="120" t="str">
        <f>VLOOKUP(B2248,辅助信息!E:I,4,FALSE)</f>
        <v>张扬</v>
      </c>
      <c r="K2248" s="120">
        <f>VLOOKUP(J2248,辅助信息!H:I,2,FALSE)</f>
        <v>18381904567</v>
      </c>
      <c r="L2248" s="122" t="str">
        <f>VLOOKUP(B2248,辅助信息!E:J,6,FALSE)</f>
        <v>控制炉批号！多了现场不收！,优先安排达钢,提前联系到场规格及数量</v>
      </c>
      <c r="M2248" s="91"/>
      <c r="O2248" s="62" t="str">
        <f ca="1" t="shared" si="149"/>
        <v/>
      </c>
      <c r="P2248" s="62"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0" t="s">
        <v>180</v>
      </c>
      <c r="C2249" s="70">
        <v>45854</v>
      </c>
      <c r="D2249" s="120" t="str">
        <f>VLOOKUP(B2249,辅助信息!E:K,7,FALSE)</f>
        <v>JWDDCD2025052800131</v>
      </c>
      <c r="E2249" s="120" t="str">
        <f>VLOOKUP(F2249,辅助信息!A:B,2,FALSE)</f>
        <v>螺纹钢</v>
      </c>
      <c r="F2249" s="120" t="s">
        <v>18</v>
      </c>
      <c r="G2249" s="121">
        <v>15</v>
      </c>
      <c r="H2249" s="134" t="str">
        <f>_xlfn.XLOOKUP(C2249&amp;F2249&amp;I2249&amp;J2249,'[1]2025年已发货'!$F:$F&amp;'[1]2025年已发货'!$C:$C&amp;'[1]2025年已发货'!$G:$G&amp;'[1]2025年已发货'!$H:$H,'[1]2025年已发货'!$E:$E,"未发货")</f>
        <v>未发货</v>
      </c>
      <c r="I2249" s="120" t="str">
        <f>VLOOKUP(B2249,辅助信息!E:I,3,FALSE)</f>
        <v>（商投建工达州中医药科技园-4工区-8号楼）达州市通川区达州中医药职业学院犀牛大道北段</v>
      </c>
      <c r="J2249" s="120" t="str">
        <f>VLOOKUP(B2249,辅助信息!E:I,4,FALSE)</f>
        <v>张扬</v>
      </c>
      <c r="K2249" s="120">
        <f>VLOOKUP(J2249,辅助信息!H:I,2,FALSE)</f>
        <v>18381904567</v>
      </c>
      <c r="L2249" s="122" t="str">
        <f>VLOOKUP(B2249,辅助信息!E:J,6,FALSE)</f>
        <v>控制炉批号！多了现场不收！,优先安排达钢,提前联系到场规格及数量</v>
      </c>
      <c r="M2249" s="91"/>
      <c r="O2249" s="62" t="str">
        <f ca="1" t="shared" si="149"/>
        <v/>
      </c>
      <c r="P2249" s="62"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0" t="s">
        <v>180</v>
      </c>
      <c r="C2250" s="70">
        <v>45854</v>
      </c>
      <c r="D2250" s="120" t="str">
        <f>VLOOKUP(B2250,辅助信息!E:K,7,FALSE)</f>
        <v>JWDDCD2025052800131</v>
      </c>
      <c r="E2250" s="120" t="str">
        <f>VLOOKUP(F2250,辅助信息!A:B,2,FALSE)</f>
        <v>螺纹钢</v>
      </c>
      <c r="F2250" s="120" t="s">
        <v>21</v>
      </c>
      <c r="G2250" s="121">
        <v>6</v>
      </c>
      <c r="H2250" s="134" t="str">
        <f>_xlfn.XLOOKUP(C2250&amp;F2250&amp;I2250&amp;J2250,'[1]2025年已发货'!$F:$F&amp;'[1]2025年已发货'!$C:$C&amp;'[1]2025年已发货'!$G:$G&amp;'[1]2025年已发货'!$H:$H,'[1]2025年已发货'!$E:$E,"未发货")</f>
        <v>未发货</v>
      </c>
      <c r="I2250" s="120" t="str">
        <f>VLOOKUP(B2250,辅助信息!E:I,3,FALSE)</f>
        <v>（商投建工达州中医药科技园-4工区-8号楼）达州市通川区达州中医药职业学院犀牛大道北段</v>
      </c>
      <c r="J2250" s="120" t="str">
        <f>VLOOKUP(B2250,辅助信息!E:I,4,FALSE)</f>
        <v>张扬</v>
      </c>
      <c r="K2250" s="120">
        <f>VLOOKUP(J2250,辅助信息!H:I,2,FALSE)</f>
        <v>18381904567</v>
      </c>
      <c r="L2250" s="122" t="str">
        <f>VLOOKUP(B2250,辅助信息!E:J,6,FALSE)</f>
        <v>控制炉批号！多了现场不收！,优先安排达钢,提前联系到场规格及数量</v>
      </c>
      <c r="M2250" s="91">
        <v>45853</v>
      </c>
      <c r="O2250" s="62">
        <f ca="1" t="shared" si="149"/>
        <v>0</v>
      </c>
      <c r="P2250" s="62">
        <f ca="1" t="shared" si="150"/>
        <v>107</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0" t="s">
        <v>147</v>
      </c>
      <c r="C2251" s="70">
        <v>45854</v>
      </c>
      <c r="D2251" s="120" t="str">
        <f>VLOOKUP(B2251,辅助信息!E:K,7,FALSE)</f>
        <v>JWDDCD2025052800131</v>
      </c>
      <c r="E2251" s="120" t="str">
        <f>VLOOKUP(F2251,辅助信息!A:B,2,FALSE)</f>
        <v>螺纹钢</v>
      </c>
      <c r="F2251" s="120" t="s">
        <v>30</v>
      </c>
      <c r="G2251" s="121">
        <v>9</v>
      </c>
      <c r="H2251" s="134" t="str">
        <f>_xlfn.XLOOKUP(C2251&amp;F2251&amp;I2251&amp;J2251,'[1]2025年已发货'!$F:$F&amp;'[1]2025年已发货'!$C:$C&amp;'[1]2025年已发货'!$G:$G&amp;'[1]2025年已发货'!$H:$H,'[1]2025年已发货'!$E:$E,"未发货")</f>
        <v>未发货</v>
      </c>
      <c r="I2251" s="120" t="str">
        <f>VLOOKUP(B2251,辅助信息!E:I,3,FALSE)</f>
        <v>（商投建工达州中医药科技园-4工区-11号楼）达州市通川区达州中医药职业学院犀牛大道北段</v>
      </c>
      <c r="J2251" s="120" t="str">
        <f>VLOOKUP(B2251,辅助信息!E:I,4,FALSE)</f>
        <v>张扬</v>
      </c>
      <c r="K2251" s="120">
        <f>VLOOKUP(J2251,辅助信息!H:I,2,FALSE)</f>
        <v>18381904567</v>
      </c>
      <c r="L2251" s="122" t="str">
        <f>VLOOKUP(B2251,辅助信息!E:J,6,FALSE)</f>
        <v>控制炉批号！多了现场不收！,优先安排达钢,提前联系到场规格及数量</v>
      </c>
      <c r="M2251" s="91">
        <v>45853</v>
      </c>
      <c r="O2251" s="62">
        <f ca="1" t="shared" si="149"/>
        <v>0</v>
      </c>
      <c r="P2251" s="62">
        <f ca="1" t="shared" si="150"/>
        <v>107</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29" t="s">
        <v>191</v>
      </c>
      <c r="B2252" s="120" t="s">
        <v>156</v>
      </c>
      <c r="C2252" s="70">
        <v>45854</v>
      </c>
      <c r="D2252" s="120" t="e">
        <f>VLOOKUP(B2252,辅助信息!E:K,7,FALSE)</f>
        <v>#N/A</v>
      </c>
      <c r="E2252" s="120" t="str">
        <f>VLOOKUP(F2252,辅助信息!A:B,2,FALSE)</f>
        <v>螺纹钢</v>
      </c>
      <c r="F2252" s="120" t="s">
        <v>27</v>
      </c>
      <c r="G2252" s="121">
        <v>3</v>
      </c>
      <c r="H2252" s="134" t="e">
        <f>_xlfn.XLOOKUP(C2252&amp;F2252&amp;I2252&amp;J2252,'[1]2025年已发货'!$F:$F&amp;'[1]2025年已发货'!$C:$C&amp;'[1]2025年已发货'!$G:$G&amp;'[1]2025年已发货'!$H:$H,'[1]2025年已发货'!$E:$E,"未发货")</f>
        <v>#N/A</v>
      </c>
      <c r="I2252" s="120" t="e">
        <f>VLOOKUP(B2252,辅助信息!E:I,3,FALSE)</f>
        <v>#N/A</v>
      </c>
      <c r="J2252" s="120" t="e">
        <f>VLOOKUP(B2252,辅助信息!E:I,4,FALSE)</f>
        <v>#N/A</v>
      </c>
      <c r="K2252" s="120" t="e">
        <f>VLOOKUP(J2252,辅助信息!H:I,2,FALSE)</f>
        <v>#N/A</v>
      </c>
      <c r="L2252" s="122" t="e">
        <f>VLOOKUP(B2252,辅助信息!E:J,6,FALSE)</f>
        <v>#N/A</v>
      </c>
      <c r="M2252" s="91">
        <v>45855</v>
      </c>
      <c r="O2252" s="62">
        <f ca="1" t="shared" si="149"/>
        <v>0</v>
      </c>
      <c r="P2252" s="62">
        <f ca="1" t="shared" si="150"/>
        <v>105</v>
      </c>
      <c r="Q2252" s="29" t="e">
        <f>VLOOKUP(B2252,辅助信息!E:M,9,FALSE)</f>
        <v>#N/A</v>
      </c>
      <c r="R2252" s="29" vm="1" t="e">
        <f>_xlfn._xlws.FILTER(辅助信息!D:D,辅助信息!E:E=B2252)</f>
        <v>#VALUE!</v>
      </c>
    </row>
    <row r="2253" hidden="1" spans="1:18">
      <c r="A2253" s="129"/>
      <c r="B2253" s="120" t="s">
        <v>156</v>
      </c>
      <c r="C2253" s="70">
        <v>45854</v>
      </c>
      <c r="D2253" s="120" t="e">
        <f>VLOOKUP(B2253,辅助信息!E:K,7,FALSE)</f>
        <v>#N/A</v>
      </c>
      <c r="E2253" s="120" t="str">
        <f>VLOOKUP(F2253,辅助信息!A:B,2,FALSE)</f>
        <v>螺纹钢</v>
      </c>
      <c r="F2253" s="120" t="s">
        <v>19</v>
      </c>
      <c r="G2253" s="121">
        <v>8</v>
      </c>
      <c r="H2253" s="134" t="e">
        <f>_xlfn.XLOOKUP(C2253&amp;F2253&amp;I2253&amp;J2253,'[1]2025年已发货'!$F:$F&amp;'[1]2025年已发货'!$C:$C&amp;'[1]2025年已发货'!$G:$G&amp;'[1]2025年已发货'!$H:$H,'[1]2025年已发货'!$E:$E,"未发货")</f>
        <v>#N/A</v>
      </c>
      <c r="I2253" s="120" t="e">
        <f>VLOOKUP(B2253,辅助信息!E:I,3,FALSE)</f>
        <v>#N/A</v>
      </c>
      <c r="J2253" s="120" t="e">
        <f>VLOOKUP(B2253,辅助信息!E:I,4,FALSE)</f>
        <v>#N/A</v>
      </c>
      <c r="K2253" s="120" t="e">
        <f>VLOOKUP(J2253,辅助信息!H:I,2,FALSE)</f>
        <v>#N/A</v>
      </c>
      <c r="L2253" s="122" t="e">
        <f>VLOOKUP(B2253,辅助信息!E:J,6,FALSE)</f>
        <v>#N/A</v>
      </c>
      <c r="M2253" s="91">
        <v>45855</v>
      </c>
      <c r="O2253" s="62">
        <f ca="1" t="shared" si="149"/>
        <v>0</v>
      </c>
      <c r="P2253" s="62">
        <f ca="1" t="shared" si="150"/>
        <v>105</v>
      </c>
      <c r="Q2253" s="29" t="e">
        <f>VLOOKUP(B2253,辅助信息!E:M,9,FALSE)</f>
        <v>#N/A</v>
      </c>
      <c r="R2253" s="29" vm="1" t="e">
        <f>_xlfn._xlws.FILTER(辅助信息!D:D,辅助信息!E:E=B2253)</f>
        <v>#VALUE!</v>
      </c>
    </row>
    <row r="2254" hidden="1" spans="1:18">
      <c r="A2254" s="129"/>
      <c r="B2254" s="120" t="s">
        <v>156</v>
      </c>
      <c r="C2254" s="70">
        <v>45854</v>
      </c>
      <c r="D2254" s="120" t="e">
        <f>VLOOKUP(B2254,辅助信息!E:K,7,FALSE)</f>
        <v>#N/A</v>
      </c>
      <c r="E2254" s="120" t="str">
        <f>VLOOKUP(F2254,辅助信息!A:B,2,FALSE)</f>
        <v>螺纹钢</v>
      </c>
      <c r="F2254" s="120" t="s">
        <v>30</v>
      </c>
      <c r="G2254" s="121">
        <v>17</v>
      </c>
      <c r="H2254" s="134" t="e">
        <f>_xlfn.XLOOKUP(C2254&amp;F2254&amp;I2254&amp;J2254,'[1]2025年已发货'!$F:$F&amp;'[1]2025年已发货'!$C:$C&amp;'[1]2025年已发货'!$G:$G&amp;'[1]2025年已发货'!$H:$H,'[1]2025年已发货'!$E:$E,"未发货")</f>
        <v>#N/A</v>
      </c>
      <c r="I2254" s="120" t="e">
        <f>VLOOKUP(B2254,辅助信息!E:I,3,FALSE)</f>
        <v>#N/A</v>
      </c>
      <c r="J2254" s="120" t="e">
        <f>VLOOKUP(B2254,辅助信息!E:I,4,FALSE)</f>
        <v>#N/A</v>
      </c>
      <c r="K2254" s="120" t="e">
        <f>VLOOKUP(J2254,辅助信息!H:I,2,FALSE)</f>
        <v>#N/A</v>
      </c>
      <c r="L2254" s="122" t="e">
        <f>VLOOKUP(B2254,辅助信息!E:J,6,FALSE)</f>
        <v>#N/A</v>
      </c>
      <c r="M2254" s="91">
        <v>45855</v>
      </c>
      <c r="O2254" s="62">
        <f ca="1" t="shared" si="149"/>
        <v>0</v>
      </c>
      <c r="P2254" s="62">
        <f ca="1" t="shared" si="150"/>
        <v>105</v>
      </c>
      <c r="Q2254" s="29" t="e">
        <f>VLOOKUP(B2254,辅助信息!E:M,9,FALSE)</f>
        <v>#N/A</v>
      </c>
      <c r="R2254" s="29" vm="1" t="e">
        <f>_xlfn._xlws.FILTER(辅助信息!D:D,辅助信息!E:E=B2254)</f>
        <v>#VALUE!</v>
      </c>
    </row>
    <row r="2255" hidden="1" spans="1:18">
      <c r="A2255" s="129"/>
      <c r="B2255" s="120" t="s">
        <v>156</v>
      </c>
      <c r="C2255" s="70">
        <v>45854</v>
      </c>
      <c r="D2255" s="120" t="e">
        <f>VLOOKUP(B2255,辅助信息!E:K,7,FALSE)</f>
        <v>#N/A</v>
      </c>
      <c r="E2255" s="120" t="str">
        <f>VLOOKUP(F2255,辅助信息!A:B,2,FALSE)</f>
        <v>螺纹钢</v>
      </c>
      <c r="F2255" s="120" t="s">
        <v>18</v>
      </c>
      <c r="G2255" s="121">
        <v>8</v>
      </c>
      <c r="H2255" s="134" t="e">
        <f>_xlfn.XLOOKUP(C2255&amp;F2255&amp;I2255&amp;J2255,'[1]2025年已发货'!$F:$F&amp;'[1]2025年已发货'!$C:$C&amp;'[1]2025年已发货'!$G:$G&amp;'[1]2025年已发货'!$H:$H,'[1]2025年已发货'!$E:$E,"未发货")</f>
        <v>#N/A</v>
      </c>
      <c r="I2255" s="120" t="e">
        <f>VLOOKUP(B2255,辅助信息!E:I,3,FALSE)</f>
        <v>#N/A</v>
      </c>
      <c r="J2255" s="120" t="e">
        <f>VLOOKUP(B2255,辅助信息!E:I,4,FALSE)</f>
        <v>#N/A</v>
      </c>
      <c r="K2255" s="120" t="e">
        <f>VLOOKUP(J2255,辅助信息!H:I,2,FALSE)</f>
        <v>#N/A</v>
      </c>
      <c r="L2255" s="122" t="e">
        <f>VLOOKUP(B2255,辅助信息!E:J,6,FALSE)</f>
        <v>#N/A</v>
      </c>
      <c r="M2255" s="91">
        <v>45855</v>
      </c>
      <c r="O2255" s="62">
        <f ca="1" t="shared" si="149"/>
        <v>0</v>
      </c>
      <c r="P2255" s="62">
        <f ca="1" t="shared" si="150"/>
        <v>105</v>
      </c>
      <c r="Q2255" s="29" t="e">
        <f>VLOOKUP(B2255,辅助信息!E:M,9,FALSE)</f>
        <v>#N/A</v>
      </c>
      <c r="R2255" s="29" vm="1" t="e">
        <f>_xlfn._xlws.FILTER(辅助信息!D:D,辅助信息!E:E=B2255)</f>
        <v>#VALUE!</v>
      </c>
    </row>
    <row r="2256" hidden="1" spans="2:18">
      <c r="B2256" s="120" t="s">
        <v>47</v>
      </c>
      <c r="C2256" s="70">
        <v>45854</v>
      </c>
      <c r="D2256" s="120" t="str">
        <f>VLOOKUP(B2256,辅助信息!E:K,7,FALSE)</f>
        <v>JWDDCD2025052800131</v>
      </c>
      <c r="E2256" s="120" t="str">
        <f>VLOOKUP(F2256,辅助信息!A:B,2,FALSE)</f>
        <v>螺纹钢</v>
      </c>
      <c r="F2256" s="120" t="s">
        <v>66</v>
      </c>
      <c r="G2256" s="121">
        <v>6</v>
      </c>
      <c r="H2256" s="134" t="str">
        <f>_xlfn.XLOOKUP(C2256&amp;F2256&amp;I2256&amp;J2256,'[1]2025年已发货'!$F:$F&amp;'[1]2025年已发货'!$C:$C&amp;'[1]2025年已发货'!$G:$G&amp;'[1]2025年已发货'!$H:$H,'[1]2025年已发货'!$E:$E,"未发货")</f>
        <v>未发货</v>
      </c>
      <c r="I2256" s="120" t="str">
        <f>VLOOKUP(B2256,辅助信息!E:I,3,FALSE)</f>
        <v>（商投建工达州中医药科技园-1工区）达州市通川区达州中医药职业学院犀牛大道北段</v>
      </c>
      <c r="J2256" s="120" t="str">
        <f>VLOOKUP(B2256,辅助信息!E:I,4,FALSE)</f>
        <v>程黄刚</v>
      </c>
      <c r="K2256" s="120">
        <f>VLOOKUP(J2256,辅助信息!H:I,2,FALSE)</f>
        <v>15108211617</v>
      </c>
      <c r="L2256" s="122" t="str">
        <f>VLOOKUP(B2256,辅助信息!E:J,6,FALSE)</f>
        <v>控制炉批号！多了现场不收！,优先安排达钢,提前联系到场规格及数量</v>
      </c>
      <c r="M2256" s="91">
        <v>45855</v>
      </c>
      <c r="O2256" s="62">
        <f ca="1" t="shared" si="149"/>
        <v>0</v>
      </c>
      <c r="P2256" s="62">
        <f ca="1" t="shared" si="150"/>
        <v>105</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0" t="s">
        <v>47</v>
      </c>
      <c r="C2257" s="70">
        <v>45854</v>
      </c>
      <c r="D2257" s="120" t="str">
        <f>VLOOKUP(B2257,辅助信息!E:K,7,FALSE)</f>
        <v>JWDDCD2025052800131</v>
      </c>
      <c r="E2257" s="120" t="str">
        <f>VLOOKUP(F2257,辅助信息!A:B,2,FALSE)</f>
        <v>螺纹钢</v>
      </c>
      <c r="F2257" s="120" t="s">
        <v>45</v>
      </c>
      <c r="G2257" s="121">
        <v>6</v>
      </c>
      <c r="H2257" s="134" t="str">
        <f>_xlfn.XLOOKUP(C2257&amp;F2257&amp;I2257&amp;J2257,'[1]2025年已发货'!$F:$F&amp;'[1]2025年已发货'!$C:$C&amp;'[1]2025年已发货'!$G:$G&amp;'[1]2025年已发货'!$H:$H,'[1]2025年已发货'!$E:$E,"未发货")</f>
        <v>未发货</v>
      </c>
      <c r="I2257" s="120" t="str">
        <f>VLOOKUP(B2257,辅助信息!E:I,3,FALSE)</f>
        <v>（商投建工达州中医药科技园-1工区）达州市通川区达州中医药职业学院犀牛大道北段</v>
      </c>
      <c r="J2257" s="120" t="str">
        <f>VLOOKUP(B2257,辅助信息!E:I,4,FALSE)</f>
        <v>程黄刚</v>
      </c>
      <c r="K2257" s="120">
        <f>VLOOKUP(J2257,辅助信息!H:I,2,FALSE)</f>
        <v>15108211617</v>
      </c>
      <c r="L2257" s="122" t="str">
        <f>VLOOKUP(B2257,辅助信息!E:J,6,FALSE)</f>
        <v>控制炉批号！多了现场不收！,优先安排达钢,提前联系到场规格及数量</v>
      </c>
      <c r="M2257" s="91">
        <v>45855</v>
      </c>
      <c r="O2257" s="62">
        <f ca="1" t="shared" si="149"/>
        <v>0</v>
      </c>
      <c r="P2257" s="62">
        <f ca="1" t="shared" si="150"/>
        <v>105</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0" t="s">
        <v>47</v>
      </c>
      <c r="C2258" s="70">
        <v>45854</v>
      </c>
      <c r="D2258" s="120" t="str">
        <f>VLOOKUP(B2258,辅助信息!E:K,7,FALSE)</f>
        <v>JWDDCD2025052800131</v>
      </c>
      <c r="E2258" s="120" t="str">
        <f>VLOOKUP(F2258,辅助信息!A:B,2,FALSE)</f>
        <v>螺纹钢</v>
      </c>
      <c r="F2258" s="120" t="s">
        <v>21</v>
      </c>
      <c r="G2258" s="121">
        <v>6</v>
      </c>
      <c r="H2258" s="134" t="str">
        <f>_xlfn.XLOOKUP(C2258&amp;F2258&amp;I2258&amp;J2258,'[1]2025年已发货'!$F:$F&amp;'[1]2025年已发货'!$C:$C&amp;'[1]2025年已发货'!$G:$G&amp;'[1]2025年已发货'!$H:$H,'[1]2025年已发货'!$E:$E,"未发货")</f>
        <v>未发货</v>
      </c>
      <c r="I2258" s="120" t="str">
        <f>VLOOKUP(B2258,辅助信息!E:I,3,FALSE)</f>
        <v>（商投建工达州中医药科技园-1工区）达州市通川区达州中医药职业学院犀牛大道北段</v>
      </c>
      <c r="J2258" s="120" t="str">
        <f>VLOOKUP(B2258,辅助信息!E:I,4,FALSE)</f>
        <v>程黄刚</v>
      </c>
      <c r="K2258" s="120">
        <f>VLOOKUP(J2258,辅助信息!H:I,2,FALSE)</f>
        <v>15108211617</v>
      </c>
      <c r="L2258" s="122" t="str">
        <f>VLOOKUP(B2258,辅助信息!E:J,6,FALSE)</f>
        <v>控制炉批号！多了现场不收！,优先安排达钢,提前联系到场规格及数量</v>
      </c>
      <c r="M2258" s="91">
        <v>45855</v>
      </c>
      <c r="O2258" s="62">
        <f ca="1" t="shared" si="149"/>
        <v>0</v>
      </c>
      <c r="P2258" s="62">
        <f ca="1" t="shared" si="150"/>
        <v>105</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0" t="s">
        <v>47</v>
      </c>
      <c r="C2259" s="70">
        <v>45854</v>
      </c>
      <c r="D2259" s="120" t="str">
        <f>VLOOKUP(B2259,辅助信息!E:K,7,FALSE)</f>
        <v>JWDDCD2025052800131</v>
      </c>
      <c r="E2259" s="120" t="str">
        <f>VLOOKUP(F2259,辅助信息!A:B,2,FALSE)</f>
        <v>螺纹钢</v>
      </c>
      <c r="F2259" s="120" t="s">
        <v>46</v>
      </c>
      <c r="G2259" s="121">
        <v>17</v>
      </c>
      <c r="H2259" s="134" t="str">
        <f>_xlfn.XLOOKUP(C2259&amp;F2259&amp;I2259&amp;J2259,'[1]2025年已发货'!$F:$F&amp;'[1]2025年已发货'!$C:$C&amp;'[1]2025年已发货'!$G:$G&amp;'[1]2025年已发货'!$H:$H,'[1]2025年已发货'!$E:$E,"未发货")</f>
        <v>未发货</v>
      </c>
      <c r="I2259" s="120" t="str">
        <f>VLOOKUP(B2259,辅助信息!E:I,3,FALSE)</f>
        <v>（商投建工达州中医药科技园-1工区）达州市通川区达州中医药职业学院犀牛大道北段</v>
      </c>
      <c r="J2259" s="120" t="str">
        <f>VLOOKUP(B2259,辅助信息!E:I,4,FALSE)</f>
        <v>程黄刚</v>
      </c>
      <c r="K2259" s="120">
        <f>VLOOKUP(J2259,辅助信息!H:I,2,FALSE)</f>
        <v>15108211617</v>
      </c>
      <c r="L2259" s="122" t="str">
        <f>VLOOKUP(B2259,辅助信息!E:J,6,FALSE)</f>
        <v>控制炉批号！多了现场不收！,优先安排达钢,提前联系到场规格及数量</v>
      </c>
      <c r="M2259" s="91">
        <v>45855</v>
      </c>
      <c r="O2259" s="62">
        <f ca="1" t="shared" si="149"/>
        <v>0</v>
      </c>
      <c r="P2259" s="62">
        <f ca="1" t="shared" si="150"/>
        <v>105</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0">
        <v>45854</v>
      </c>
      <c r="D2260" s="40" t="str">
        <f>VLOOKUP(B2260,辅助信息!E:K,7,FALSE)</f>
        <v>JWDDCD2025072900121</v>
      </c>
      <c r="E2260" s="40" t="str">
        <f>VLOOKUP(F2260,辅助信息!A:B,2,FALSE)</f>
        <v>盘螺</v>
      </c>
      <c r="F2260" s="40" t="s">
        <v>40</v>
      </c>
      <c r="G2260" s="36">
        <v>3</v>
      </c>
      <c r="H2260" s="134">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09" t="str">
        <f>VLOOKUP(B2260,辅助信息!E:J,6,FALSE)</f>
        <v>联系实际收货人（范增云13668153241）现场要求炉批号控制2个以下，超2个不给予签收。提前联系到场规格及数量</v>
      </c>
      <c r="M2260" s="91">
        <v>45855</v>
      </c>
      <c r="O2260" s="62">
        <f ca="1" t="shared" si="149"/>
        <v>0</v>
      </c>
      <c r="P2260" s="62">
        <f ca="1" t="shared" si="150"/>
        <v>105</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0">
        <v>45854</v>
      </c>
      <c r="D2261" s="40" t="str">
        <f>VLOOKUP(B2261,辅助信息!E:K,7,FALSE)</f>
        <v>JWDDCD2025072900121</v>
      </c>
      <c r="E2261" s="40" t="str">
        <f>VLOOKUP(F2261,辅助信息!A:B,2,FALSE)</f>
        <v>螺纹钢</v>
      </c>
      <c r="F2261" s="40" t="s">
        <v>32</v>
      </c>
      <c r="G2261" s="36">
        <v>5</v>
      </c>
      <c r="H2261" s="134">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09" t="str">
        <f>VLOOKUP(B2261,辅助信息!E:J,6,FALSE)</f>
        <v>联系实际收货人（范增云13668153241）现场要求炉批号控制2个以下，超2个不给予签收。提前联系到场规格及数量</v>
      </c>
      <c r="M2261" s="91">
        <v>45855</v>
      </c>
      <c r="O2261" s="62">
        <f ca="1" t="shared" si="149"/>
        <v>0</v>
      </c>
      <c r="P2261" s="62">
        <f ca="1" t="shared" si="150"/>
        <v>105</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0">
        <v>45854</v>
      </c>
      <c r="D2262" s="40" t="str">
        <f>VLOOKUP(B2262,辅助信息!E:K,7,FALSE)</f>
        <v>JWDDCD2025072900121</v>
      </c>
      <c r="E2262" s="40" t="str">
        <f>VLOOKUP(F2262,辅助信息!A:B,2,FALSE)</f>
        <v>螺纹钢</v>
      </c>
      <c r="F2262" s="40" t="s">
        <v>30</v>
      </c>
      <c r="G2262" s="36">
        <v>3</v>
      </c>
      <c r="H2262" s="134">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09" t="str">
        <f>VLOOKUP(B2262,辅助信息!E:J,6,FALSE)</f>
        <v>联系实际收货人（范增云13668153241）现场要求炉批号控制2个以下，超2个不给予签收。提前联系到场规格及数量</v>
      </c>
      <c r="M2262" s="91">
        <v>45855</v>
      </c>
      <c r="O2262" s="62">
        <f ca="1" t="shared" si="149"/>
        <v>0</v>
      </c>
      <c r="P2262" s="62">
        <f ca="1" t="shared" si="150"/>
        <v>105</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0">
        <v>45854</v>
      </c>
      <c r="D2263" s="40" t="str">
        <f>VLOOKUP(B2263,辅助信息!E:K,7,FALSE)</f>
        <v>JWDDCD2025072900121</v>
      </c>
      <c r="E2263" s="40" t="str">
        <f>VLOOKUP(F2263,辅助信息!A:B,2,FALSE)</f>
        <v>螺纹钢</v>
      </c>
      <c r="F2263" s="40" t="s">
        <v>33</v>
      </c>
      <c r="G2263" s="36">
        <v>3</v>
      </c>
      <c r="H2263" s="134">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09" t="str">
        <f>VLOOKUP(B2263,辅助信息!E:J,6,FALSE)</f>
        <v>联系实际收货人（范增云13668153241）现场要求炉批号控制2个以下，超2个不给予签收。提前联系到场规格及数量</v>
      </c>
      <c r="M2263" s="91">
        <v>45855</v>
      </c>
      <c r="O2263" s="62">
        <f ca="1" t="shared" si="149"/>
        <v>0</v>
      </c>
      <c r="P2263" s="62">
        <f ca="1" t="shared" si="150"/>
        <v>105</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0">
        <v>45854</v>
      </c>
      <c r="D2264" s="40" t="str">
        <f>VLOOKUP(B2264,辅助信息!E:K,7,FALSE)</f>
        <v>JWDDCD2025072900121</v>
      </c>
      <c r="E2264" s="40" t="str">
        <f>VLOOKUP(F2264,辅助信息!A:B,2,FALSE)</f>
        <v>螺纹钢</v>
      </c>
      <c r="F2264" s="40" t="s">
        <v>28</v>
      </c>
      <c r="G2264" s="36">
        <v>3</v>
      </c>
      <c r="H2264" s="134">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09" t="str">
        <f>VLOOKUP(B2264,辅助信息!E:J,6,FALSE)</f>
        <v>联系实际收货人（范增云13668153241）现场要求炉批号控制2个以下，超2个不给予签收。提前联系到场规格及数量</v>
      </c>
      <c r="M2264" s="91">
        <v>45855</v>
      </c>
      <c r="O2264" s="62">
        <f ca="1" t="shared" si="149"/>
        <v>0</v>
      </c>
      <c r="P2264" s="62">
        <f ca="1" t="shared" si="150"/>
        <v>105</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0">
        <v>45854</v>
      </c>
      <c r="D2265" s="40" t="str">
        <f>VLOOKUP(B2265,辅助信息!E:K,7,FALSE)</f>
        <v>JWDDCD2025072900121</v>
      </c>
      <c r="E2265" s="40" t="str">
        <f>VLOOKUP(F2265,辅助信息!A:B,2,FALSE)</f>
        <v>螺纹钢</v>
      </c>
      <c r="F2265" s="40" t="s">
        <v>18</v>
      </c>
      <c r="G2265" s="36">
        <v>18</v>
      </c>
      <c r="H2265" s="134">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09" t="str">
        <f>VLOOKUP(B2265,辅助信息!E:J,6,FALSE)</f>
        <v>联系实际收货人（范增云13668153241）现场要求炉批号控制2个以下，超2个不给予签收。提前联系到场规格及数量</v>
      </c>
      <c r="M2265" s="91">
        <v>45855</v>
      </c>
      <c r="O2265" s="62">
        <f ca="1" t="shared" si="149"/>
        <v>0</v>
      </c>
      <c r="P2265" s="62">
        <f ca="1" t="shared" si="150"/>
        <v>105</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0">
        <v>45854</v>
      </c>
      <c r="D2266" s="40" t="str">
        <f>VLOOKUP(B2266,辅助信息!E:K,7,FALSE)</f>
        <v>JWDD2025071500089</v>
      </c>
      <c r="E2266" s="40" t="str">
        <f>VLOOKUP(F2266,辅助信息!A:B,2,FALSE)</f>
        <v>螺纹钢</v>
      </c>
      <c r="F2266" s="40" t="s">
        <v>30</v>
      </c>
      <c r="G2266" s="36">
        <v>35</v>
      </c>
      <c r="H2266" s="134"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09" t="str">
        <f>VLOOKUP(B2266,辅助信息!E:J,6,FALSE)</f>
        <v>现场要求调度统一联系指定收货人，不单独发司机位置。锈货不收，装货前联系收货人核实到场规格,没提前告知进场规格现场不给予接收</v>
      </c>
      <c r="O2266" s="62" t="str">
        <f ca="1" t="shared" si="149"/>
        <v/>
      </c>
      <c r="P2266" s="62"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7" t="s">
        <v>193</v>
      </c>
      <c r="B2267" s="40" t="s">
        <v>161</v>
      </c>
      <c r="C2267" s="70">
        <v>45854</v>
      </c>
      <c r="D2267" s="40" t="str">
        <f>VLOOKUP(B2267,辅助信息!E:K,7,FALSE)</f>
        <v>JWDD2025071500089</v>
      </c>
      <c r="E2267" s="40" t="str">
        <f>VLOOKUP(F2267,辅助信息!A:B,2,FALSE)</f>
        <v>盘螺</v>
      </c>
      <c r="F2267" s="40" t="s">
        <v>26</v>
      </c>
      <c r="G2267" s="36">
        <v>20</v>
      </c>
      <c r="H2267" s="134"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09" t="str">
        <f>VLOOKUP(B2267,辅助信息!E:J,6,FALSE)</f>
        <v>现场要求调度统一联系指定收货人，不单独发司机位置。锈货不收，装货前联系收货人核实到场规格,没提前告知进场规格现场不给予接收</v>
      </c>
      <c r="O2267" s="62" t="str">
        <f ca="1" t="shared" si="149"/>
        <v/>
      </c>
      <c r="P2267" s="62"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7"/>
      <c r="B2268" s="40" t="s">
        <v>161</v>
      </c>
      <c r="C2268" s="70">
        <v>45854</v>
      </c>
      <c r="D2268" s="40" t="str">
        <f>VLOOKUP(B2268,辅助信息!E:K,7,FALSE)</f>
        <v>JWDD2025071500089</v>
      </c>
      <c r="E2268" s="40" t="str">
        <f>VLOOKUP(F2268,辅助信息!A:B,2,FALSE)</f>
        <v>螺纹钢</v>
      </c>
      <c r="F2268" s="40" t="s">
        <v>32</v>
      </c>
      <c r="G2268" s="36">
        <v>3</v>
      </c>
      <c r="H2268" s="134"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09" t="str">
        <f>VLOOKUP(B2268,辅助信息!E:J,6,FALSE)</f>
        <v>现场要求调度统一联系指定收货人，不单独发司机位置。锈货不收，装货前联系收货人核实到场规格,没提前告知进场规格现场不给予接收</v>
      </c>
      <c r="O2268" s="62" t="str">
        <f ca="1" t="shared" si="149"/>
        <v/>
      </c>
      <c r="P2268" s="62"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7"/>
      <c r="B2269" s="40" t="s">
        <v>194</v>
      </c>
      <c r="C2269" s="70">
        <v>45854</v>
      </c>
      <c r="D2269" s="40" t="str">
        <f>VLOOKUP(B2269,辅助信息!E:K,7,FALSE)</f>
        <v>JWDD2025071500089</v>
      </c>
      <c r="E2269" s="40" t="str">
        <f>VLOOKUP(F2269,辅助信息!A:B,2,FALSE)</f>
        <v>螺纹钢</v>
      </c>
      <c r="F2269" s="40" t="s">
        <v>18</v>
      </c>
      <c r="G2269" s="36">
        <v>12</v>
      </c>
      <c r="H2269" s="134"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09" t="str">
        <f>VLOOKUP(B2269,辅助信息!E:J,6,FALSE)</f>
        <v>现场要求调度统一联系指定收货人，不单独发司机位置。锈货不收，装货前联系收货人核实到场规格,没提前告知进场规格现场不给予接收</v>
      </c>
      <c r="O2269" s="62" t="str">
        <f ca="1" t="shared" si="149"/>
        <v/>
      </c>
      <c r="P2269" s="62"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0">
        <v>45854</v>
      </c>
      <c r="D2270" s="40" t="str">
        <f>VLOOKUP(B2270,辅助信息!E:K,7,FALSE)</f>
        <v>JWDDCD2025102100475</v>
      </c>
      <c r="E2270" s="40" t="str">
        <f>VLOOKUP(F2270,辅助信息!A:B,2,FALSE)</f>
        <v>盘螺</v>
      </c>
      <c r="F2270" s="40" t="s">
        <v>40</v>
      </c>
      <c r="G2270" s="36">
        <v>5</v>
      </c>
      <c r="H2270" s="134">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09"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1">
        <v>45855</v>
      </c>
      <c r="O2270" s="62">
        <f ca="1" t="shared" si="149"/>
        <v>0</v>
      </c>
      <c r="P2270" s="62">
        <f ca="1" t="shared" si="150"/>
        <v>105</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0">
        <v>45854</v>
      </c>
      <c r="D2271" s="40" t="str">
        <f>VLOOKUP(B2271,辅助信息!E:K,7,FALSE)</f>
        <v>JWDDCD2025102100475</v>
      </c>
      <c r="E2271" s="40" t="str">
        <f>VLOOKUP(F2271,辅助信息!A:B,2,FALSE)</f>
        <v>盘螺</v>
      </c>
      <c r="F2271" s="40" t="s">
        <v>41</v>
      </c>
      <c r="G2271" s="36">
        <v>30</v>
      </c>
      <c r="H2271" s="134">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09"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1">
        <v>45855</v>
      </c>
      <c r="O2271" s="62">
        <f ca="1" t="shared" si="149"/>
        <v>0</v>
      </c>
      <c r="P2271" s="62">
        <f ca="1" t="shared" si="150"/>
        <v>105</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0">
        <v>45854</v>
      </c>
      <c r="D2272" s="40" t="str">
        <f>VLOOKUP(B2272,辅助信息!E:K,7,FALSE)</f>
        <v>JWDDCD2025102100475</v>
      </c>
      <c r="E2272" s="40" t="str">
        <f>VLOOKUP(F2272,辅助信息!A:B,2,FALSE)</f>
        <v>螺纹钢</v>
      </c>
      <c r="F2272" s="40" t="s">
        <v>27</v>
      </c>
      <c r="G2272" s="36">
        <v>6</v>
      </c>
      <c r="H2272" s="134">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09"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1">
        <v>45855</v>
      </c>
      <c r="O2272" s="62">
        <f ca="1" t="shared" si="149"/>
        <v>0</v>
      </c>
      <c r="P2272" s="62">
        <f ca="1" t="shared" si="150"/>
        <v>105</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0">
        <v>45854</v>
      </c>
      <c r="D2273" s="40" t="str">
        <f>VLOOKUP(B2273,辅助信息!E:K,7,FALSE)</f>
        <v>JWDDCD2025102100475</v>
      </c>
      <c r="E2273" s="40" t="str">
        <f>VLOOKUP(F2273,辅助信息!A:B,2,FALSE)</f>
        <v>螺纹钢</v>
      </c>
      <c r="F2273" s="40" t="s">
        <v>19</v>
      </c>
      <c r="G2273" s="36">
        <v>9</v>
      </c>
      <c r="H2273" s="134">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09"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1">
        <v>45855</v>
      </c>
      <c r="O2273" s="62">
        <f ca="1" t="shared" si="149"/>
        <v>0</v>
      </c>
      <c r="P2273" s="62">
        <f ca="1" t="shared" si="150"/>
        <v>105</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0">
        <v>45854</v>
      </c>
      <c r="D2274" s="40" t="str">
        <f>VLOOKUP(B2274,辅助信息!E:K,7,FALSE)</f>
        <v>JWDDCD2025102100475</v>
      </c>
      <c r="E2274" s="40" t="str">
        <f>VLOOKUP(F2274,辅助信息!A:B,2,FALSE)</f>
        <v>螺纹钢</v>
      </c>
      <c r="F2274" s="40" t="s">
        <v>32</v>
      </c>
      <c r="G2274" s="36">
        <v>6</v>
      </c>
      <c r="H2274" s="134">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09"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1">
        <v>45855</v>
      </c>
      <c r="O2274" s="62">
        <f ca="1" t="shared" si="149"/>
        <v>0</v>
      </c>
      <c r="P2274" s="62">
        <f ca="1" t="shared" si="150"/>
        <v>105</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0">
        <v>45854</v>
      </c>
      <c r="D2275" s="40" t="str">
        <f>VLOOKUP(B2275,辅助信息!E:K,7,FALSE)</f>
        <v>JWDDCD2025102100475</v>
      </c>
      <c r="E2275" s="40" t="str">
        <f>VLOOKUP(F2275,辅助信息!A:B,2,FALSE)</f>
        <v>螺纹钢</v>
      </c>
      <c r="F2275" s="40" t="s">
        <v>30</v>
      </c>
      <c r="G2275" s="36">
        <v>6</v>
      </c>
      <c r="H2275" s="134">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09"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1">
        <v>45855</v>
      </c>
      <c r="O2275" s="62">
        <f ca="1" t="shared" ref="O2275:O2332" si="151">IF(OR(M2275="",N2275&lt;&gt;""),"",MAX(M2275-TODAY(),0))</f>
        <v>0</v>
      </c>
      <c r="P2275" s="62">
        <f ca="1" t="shared" ref="P2275:P2332" si="152">IF(M2275="","",IF(N2275&lt;&gt;"",MAX(N2275-M2275,0),IF(TODAY()&gt;M2275,TODAY()-M2275,0)))</f>
        <v>105</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0">
        <v>45854</v>
      </c>
      <c r="D2276" s="40" t="str">
        <f>VLOOKUP(B2276,辅助信息!E:K,7,FALSE)</f>
        <v>JWDDCD2025102100475</v>
      </c>
      <c r="E2276" s="40" t="str">
        <f>VLOOKUP(F2276,辅助信息!A:B,2,FALSE)</f>
        <v>螺纹钢</v>
      </c>
      <c r="F2276" s="40" t="s">
        <v>33</v>
      </c>
      <c r="G2276" s="36">
        <v>3</v>
      </c>
      <c r="H2276" s="134">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09"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1">
        <v>45855</v>
      </c>
      <c r="O2276" s="62">
        <f ca="1" t="shared" si="151"/>
        <v>0</v>
      </c>
      <c r="P2276" s="62">
        <f ca="1" t="shared" si="152"/>
        <v>105</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0">
        <v>45854</v>
      </c>
      <c r="D2277" s="40" t="str">
        <f>VLOOKUP(B2277,辅助信息!E:K,7,FALSE)</f>
        <v>JWDDCD2025102100475</v>
      </c>
      <c r="E2277" s="40" t="str">
        <f>VLOOKUP(F2277,辅助信息!A:B,2,FALSE)</f>
        <v>螺纹钢</v>
      </c>
      <c r="F2277" s="40" t="s">
        <v>28</v>
      </c>
      <c r="G2277" s="36">
        <v>6</v>
      </c>
      <c r="H2277" s="134">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09"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1">
        <v>45855</v>
      </c>
      <c r="O2277" s="62">
        <f ca="1" t="shared" si="151"/>
        <v>0</v>
      </c>
      <c r="P2277" s="62">
        <f ca="1" t="shared" si="152"/>
        <v>105</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7" t="s">
        <v>195</v>
      </c>
      <c r="B2278" s="120" t="s">
        <v>180</v>
      </c>
      <c r="C2278" s="70">
        <v>45855</v>
      </c>
      <c r="D2278" s="120" t="str">
        <f>VLOOKUP(B2278,辅助信息!E:K,7,FALSE)</f>
        <v>JWDDCD2025052800131</v>
      </c>
      <c r="E2278" s="120" t="str">
        <f>VLOOKUP(F2278,辅助信息!A:B,2,FALSE)</f>
        <v>盘螺</v>
      </c>
      <c r="F2278" s="120" t="s">
        <v>40</v>
      </c>
      <c r="G2278" s="121">
        <v>8</v>
      </c>
      <c r="H2278" s="134">
        <f>_xlfn.XLOOKUP(C2278&amp;F2278&amp;I2278&amp;J2278,'[1]2025年已发货'!$F:$F&amp;'[1]2025年已发货'!$C:$C&amp;'[1]2025年已发货'!$G:$G&amp;'[1]2025年已发货'!$H:$H,'[1]2025年已发货'!$E:$E,"未发货")</f>
        <v>8</v>
      </c>
      <c r="I2278" s="120" t="str">
        <f>VLOOKUP(B2278,辅助信息!E:I,3,FALSE)</f>
        <v>（商投建工达州中医药科技园-4工区-8号楼）达州市通川区达州中医药职业学院犀牛大道北段</v>
      </c>
      <c r="J2278" s="120" t="str">
        <f>VLOOKUP(B2278,辅助信息!E:I,4,FALSE)</f>
        <v>张扬</v>
      </c>
      <c r="K2278" s="120">
        <f>VLOOKUP(J2278,辅助信息!H:I,2,FALSE)</f>
        <v>18381904567</v>
      </c>
      <c r="L2278" s="122" t="str">
        <f>VLOOKUP(B2278,辅助信息!E:J,6,FALSE)</f>
        <v>控制炉批号！多了现场不收！,优先安排达钢,提前联系到场规格及数量</v>
      </c>
      <c r="M2278" s="91"/>
      <c r="O2278" s="62" t="str">
        <f ca="1" t="shared" si="151"/>
        <v/>
      </c>
      <c r="P2278" s="62"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0" t="s">
        <v>180</v>
      </c>
      <c r="C2279" s="70">
        <v>45855</v>
      </c>
      <c r="D2279" s="120" t="str">
        <f>VLOOKUP(B2279,辅助信息!E:K,7,FALSE)</f>
        <v>JWDDCD2025052800131</v>
      </c>
      <c r="E2279" s="120" t="str">
        <f>VLOOKUP(F2279,辅助信息!A:B,2,FALSE)</f>
        <v>螺纹钢</v>
      </c>
      <c r="F2279" s="120" t="s">
        <v>30</v>
      </c>
      <c r="G2279" s="121">
        <v>12</v>
      </c>
      <c r="H2279" s="134">
        <f>_xlfn.XLOOKUP(C2279&amp;F2279&amp;I2279&amp;J2279,'[1]2025年已发货'!$F:$F&amp;'[1]2025年已发货'!$C:$C&amp;'[1]2025年已发货'!$G:$G&amp;'[1]2025年已发货'!$H:$H,'[1]2025年已发货'!$E:$E,"未发货")</f>
        <v>6</v>
      </c>
      <c r="I2279" s="120" t="str">
        <f>VLOOKUP(B2279,辅助信息!E:I,3,FALSE)</f>
        <v>（商投建工达州中医药科技园-4工区-8号楼）达州市通川区达州中医药职业学院犀牛大道北段</v>
      </c>
      <c r="J2279" s="120" t="str">
        <f>VLOOKUP(B2279,辅助信息!E:I,4,FALSE)</f>
        <v>张扬</v>
      </c>
      <c r="K2279" s="120">
        <f>VLOOKUP(J2279,辅助信息!H:I,2,FALSE)</f>
        <v>18381904567</v>
      </c>
      <c r="L2279" s="122" t="str">
        <f>VLOOKUP(B2279,辅助信息!E:J,6,FALSE)</f>
        <v>控制炉批号！多了现场不收！,优先安排达钢,提前联系到场规格及数量</v>
      </c>
      <c r="M2279" s="91"/>
      <c r="O2279" s="62" t="str">
        <f ca="1" t="shared" si="151"/>
        <v/>
      </c>
      <c r="P2279" s="62"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0" t="s">
        <v>180</v>
      </c>
      <c r="C2280" s="70">
        <v>45855</v>
      </c>
      <c r="D2280" s="120" t="str">
        <f>VLOOKUP(B2280,辅助信息!E:K,7,FALSE)</f>
        <v>JWDDCD2025052800131</v>
      </c>
      <c r="E2280" s="120" t="str">
        <f>VLOOKUP(F2280,辅助信息!A:B,2,FALSE)</f>
        <v>螺纹钢</v>
      </c>
      <c r="F2280" s="120" t="s">
        <v>28</v>
      </c>
      <c r="G2280" s="121">
        <v>6</v>
      </c>
      <c r="H2280" s="134">
        <f>_xlfn.XLOOKUP(C2280&amp;F2280&amp;I2280&amp;J2280,'[1]2025年已发货'!$F:$F&amp;'[1]2025年已发货'!$C:$C&amp;'[1]2025年已发货'!$G:$G&amp;'[1]2025年已发货'!$H:$H,'[1]2025年已发货'!$E:$E,"未发货")</f>
        <v>6</v>
      </c>
      <c r="I2280" s="120" t="str">
        <f>VLOOKUP(B2280,辅助信息!E:I,3,FALSE)</f>
        <v>（商投建工达州中医药科技园-4工区-8号楼）达州市通川区达州中医药职业学院犀牛大道北段</v>
      </c>
      <c r="J2280" s="120" t="str">
        <f>VLOOKUP(B2280,辅助信息!E:I,4,FALSE)</f>
        <v>张扬</v>
      </c>
      <c r="K2280" s="120">
        <f>VLOOKUP(J2280,辅助信息!H:I,2,FALSE)</f>
        <v>18381904567</v>
      </c>
      <c r="L2280" s="122" t="str">
        <f>VLOOKUP(B2280,辅助信息!E:J,6,FALSE)</f>
        <v>控制炉批号！多了现场不收！,优先安排达钢,提前联系到场规格及数量</v>
      </c>
      <c r="M2280" s="91"/>
      <c r="O2280" s="62" t="str">
        <f ca="1" t="shared" si="151"/>
        <v/>
      </c>
      <c r="P2280" s="62"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0" t="s">
        <v>180</v>
      </c>
      <c r="C2281" s="70">
        <v>45855</v>
      </c>
      <c r="D2281" s="120" t="str">
        <f>VLOOKUP(B2281,辅助信息!E:K,7,FALSE)</f>
        <v>JWDDCD2025052800131</v>
      </c>
      <c r="E2281" s="120" t="str">
        <f>VLOOKUP(F2281,辅助信息!A:B,2,FALSE)</f>
        <v>螺纹钢</v>
      </c>
      <c r="F2281" s="120" t="s">
        <v>18</v>
      </c>
      <c r="G2281" s="121">
        <v>15</v>
      </c>
      <c r="H2281" s="134">
        <f>_xlfn.XLOOKUP(C2281&amp;F2281&amp;I2281&amp;J2281,'[1]2025年已发货'!$F:$F&amp;'[1]2025年已发货'!$C:$C&amp;'[1]2025年已发货'!$G:$G&amp;'[1]2025年已发货'!$H:$H,'[1]2025年已发货'!$E:$E,"未发货")</f>
        <v>15</v>
      </c>
      <c r="I2281" s="120" t="str">
        <f>VLOOKUP(B2281,辅助信息!E:I,3,FALSE)</f>
        <v>（商投建工达州中医药科技园-4工区-8号楼）达州市通川区达州中医药职业学院犀牛大道北段</v>
      </c>
      <c r="J2281" s="120" t="str">
        <f>VLOOKUP(B2281,辅助信息!E:I,4,FALSE)</f>
        <v>张扬</v>
      </c>
      <c r="K2281" s="120">
        <f>VLOOKUP(J2281,辅助信息!H:I,2,FALSE)</f>
        <v>18381904567</v>
      </c>
      <c r="L2281" s="122" t="str">
        <f>VLOOKUP(B2281,辅助信息!E:J,6,FALSE)</f>
        <v>控制炉批号！多了现场不收！,优先安排达钢,提前联系到场规格及数量</v>
      </c>
      <c r="M2281" s="91"/>
      <c r="O2281" s="62" t="str">
        <f ca="1" t="shared" si="151"/>
        <v/>
      </c>
      <c r="P2281" s="62"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0" t="s">
        <v>180</v>
      </c>
      <c r="C2282" s="70">
        <v>45855</v>
      </c>
      <c r="D2282" s="120" t="str">
        <f>VLOOKUP(B2282,辅助信息!E:K,7,FALSE)</f>
        <v>JWDDCD2025052800131</v>
      </c>
      <c r="E2282" s="120" t="str">
        <f>VLOOKUP(F2282,辅助信息!A:B,2,FALSE)</f>
        <v>螺纹钢</v>
      </c>
      <c r="F2282" s="120" t="s">
        <v>21</v>
      </c>
      <c r="G2282" s="121">
        <v>6</v>
      </c>
      <c r="H2282" s="134" t="str">
        <f>_xlfn.XLOOKUP(C2282&amp;F2282&amp;I2282&amp;J2282,'[1]2025年已发货'!$F:$F&amp;'[1]2025年已发货'!$C:$C&amp;'[1]2025年已发货'!$G:$G&amp;'[1]2025年已发货'!$H:$H,'[1]2025年已发货'!$E:$E,"未发货")</f>
        <v>未发货</v>
      </c>
      <c r="I2282" s="120" t="str">
        <f>VLOOKUP(B2282,辅助信息!E:I,3,FALSE)</f>
        <v>（商投建工达州中医药科技园-4工区-8号楼）达州市通川区达州中医药职业学院犀牛大道北段</v>
      </c>
      <c r="J2282" s="120" t="str">
        <f>VLOOKUP(B2282,辅助信息!E:I,4,FALSE)</f>
        <v>张扬</v>
      </c>
      <c r="K2282" s="120">
        <f>VLOOKUP(J2282,辅助信息!H:I,2,FALSE)</f>
        <v>18381904567</v>
      </c>
      <c r="L2282" s="122" t="str">
        <f>VLOOKUP(B2282,辅助信息!E:J,6,FALSE)</f>
        <v>控制炉批号！多了现场不收！,优先安排达钢,提前联系到场规格及数量</v>
      </c>
      <c r="M2282" s="91">
        <v>45853</v>
      </c>
      <c r="O2282" s="62">
        <f ca="1" t="shared" si="151"/>
        <v>0</v>
      </c>
      <c r="P2282" s="62">
        <f ca="1" t="shared" si="152"/>
        <v>107</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0" t="s">
        <v>147</v>
      </c>
      <c r="C2283" s="70">
        <v>45855</v>
      </c>
      <c r="D2283" s="120" t="str">
        <f>VLOOKUP(B2283,辅助信息!E:K,7,FALSE)</f>
        <v>JWDDCD2025052800131</v>
      </c>
      <c r="E2283" s="120" t="str">
        <f>VLOOKUP(F2283,辅助信息!A:B,2,FALSE)</f>
        <v>螺纹钢</v>
      </c>
      <c r="F2283" s="120" t="s">
        <v>30</v>
      </c>
      <c r="G2283" s="121">
        <v>9</v>
      </c>
      <c r="H2283" s="134" t="str">
        <f>_xlfn.XLOOKUP(C2283&amp;F2283&amp;I2283&amp;J2283,'[1]2025年已发货'!$F:$F&amp;'[1]2025年已发货'!$C:$C&amp;'[1]2025年已发货'!$G:$G&amp;'[1]2025年已发货'!$H:$H,'[1]2025年已发货'!$E:$E,"未发货")</f>
        <v>未发货</v>
      </c>
      <c r="I2283" s="120" t="str">
        <f>VLOOKUP(B2283,辅助信息!E:I,3,FALSE)</f>
        <v>（商投建工达州中医药科技园-4工区-11号楼）达州市通川区达州中医药职业学院犀牛大道北段</v>
      </c>
      <c r="J2283" s="120" t="str">
        <f>VLOOKUP(B2283,辅助信息!E:I,4,FALSE)</f>
        <v>张扬</v>
      </c>
      <c r="K2283" s="120">
        <f>VLOOKUP(J2283,辅助信息!H:I,2,FALSE)</f>
        <v>18381904567</v>
      </c>
      <c r="L2283" s="122" t="str">
        <f>VLOOKUP(B2283,辅助信息!E:J,6,FALSE)</f>
        <v>控制炉批号！多了现场不收！,优先安排达钢,提前联系到场规格及数量</v>
      </c>
      <c r="M2283" s="91">
        <v>45853</v>
      </c>
      <c r="O2283" s="62">
        <f ca="1" t="shared" si="151"/>
        <v>0</v>
      </c>
      <c r="P2283" s="62">
        <f ca="1" t="shared" si="152"/>
        <v>107</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29" t="s">
        <v>191</v>
      </c>
      <c r="B2284" s="120" t="s">
        <v>156</v>
      </c>
      <c r="C2284" s="70">
        <v>45855</v>
      </c>
      <c r="D2284" s="120" t="e">
        <f>VLOOKUP(B2284,辅助信息!E:K,7,FALSE)</f>
        <v>#N/A</v>
      </c>
      <c r="E2284" s="120" t="str">
        <f>VLOOKUP(F2284,辅助信息!A:B,2,FALSE)</f>
        <v>螺纹钢</v>
      </c>
      <c r="F2284" s="120" t="s">
        <v>27</v>
      </c>
      <c r="G2284" s="121">
        <v>3</v>
      </c>
      <c r="H2284" s="134" t="e">
        <f>_xlfn.XLOOKUP(C2284&amp;F2284&amp;I2284&amp;J2284,'[1]2025年已发货'!$F:$F&amp;'[1]2025年已发货'!$C:$C&amp;'[1]2025年已发货'!$G:$G&amp;'[1]2025年已发货'!$H:$H,'[1]2025年已发货'!$E:$E,"未发货")</f>
        <v>#N/A</v>
      </c>
      <c r="I2284" s="120" t="e">
        <f>VLOOKUP(B2284,辅助信息!E:I,3,FALSE)</f>
        <v>#N/A</v>
      </c>
      <c r="J2284" s="120" t="e">
        <f>VLOOKUP(B2284,辅助信息!E:I,4,FALSE)</f>
        <v>#N/A</v>
      </c>
      <c r="K2284" s="120" t="e">
        <f>VLOOKUP(J2284,辅助信息!H:I,2,FALSE)</f>
        <v>#N/A</v>
      </c>
      <c r="L2284" s="122" t="e">
        <f>VLOOKUP(B2284,辅助信息!E:J,6,FALSE)</f>
        <v>#N/A</v>
      </c>
      <c r="M2284" s="91">
        <v>45855</v>
      </c>
      <c r="O2284" s="62">
        <f ca="1" t="shared" si="151"/>
        <v>0</v>
      </c>
      <c r="P2284" s="62">
        <f ca="1" t="shared" si="152"/>
        <v>105</v>
      </c>
      <c r="Q2284" s="29" t="e">
        <f>VLOOKUP(B2284,辅助信息!E:M,9,FALSE)</f>
        <v>#N/A</v>
      </c>
      <c r="R2284" s="29" vm="1" t="e">
        <f>_xlfn._xlws.FILTER(辅助信息!D:D,辅助信息!E:E=B2284)</f>
        <v>#VALUE!</v>
      </c>
    </row>
    <row r="2285" hidden="1" spans="1:18">
      <c r="A2285" s="129"/>
      <c r="B2285" s="120" t="s">
        <v>156</v>
      </c>
      <c r="C2285" s="70">
        <v>45855</v>
      </c>
      <c r="D2285" s="120" t="e">
        <f>VLOOKUP(B2285,辅助信息!E:K,7,FALSE)</f>
        <v>#N/A</v>
      </c>
      <c r="E2285" s="120" t="str">
        <f>VLOOKUP(F2285,辅助信息!A:B,2,FALSE)</f>
        <v>螺纹钢</v>
      </c>
      <c r="F2285" s="120" t="s">
        <v>19</v>
      </c>
      <c r="G2285" s="121">
        <v>8</v>
      </c>
      <c r="H2285" s="134" t="e">
        <f>_xlfn.XLOOKUP(C2285&amp;F2285&amp;I2285&amp;J2285,'[1]2025年已发货'!$F:$F&amp;'[1]2025年已发货'!$C:$C&amp;'[1]2025年已发货'!$G:$G&amp;'[1]2025年已发货'!$H:$H,'[1]2025年已发货'!$E:$E,"未发货")</f>
        <v>#N/A</v>
      </c>
      <c r="I2285" s="120" t="e">
        <f>VLOOKUP(B2285,辅助信息!E:I,3,FALSE)</f>
        <v>#N/A</v>
      </c>
      <c r="J2285" s="120" t="e">
        <f>VLOOKUP(B2285,辅助信息!E:I,4,FALSE)</f>
        <v>#N/A</v>
      </c>
      <c r="K2285" s="120" t="e">
        <f>VLOOKUP(J2285,辅助信息!H:I,2,FALSE)</f>
        <v>#N/A</v>
      </c>
      <c r="L2285" s="122" t="e">
        <f>VLOOKUP(B2285,辅助信息!E:J,6,FALSE)</f>
        <v>#N/A</v>
      </c>
      <c r="M2285" s="91">
        <v>45855</v>
      </c>
      <c r="O2285" s="62">
        <f ca="1" t="shared" si="151"/>
        <v>0</v>
      </c>
      <c r="P2285" s="62">
        <f ca="1" t="shared" si="152"/>
        <v>105</v>
      </c>
      <c r="Q2285" s="29" t="e">
        <f>VLOOKUP(B2285,辅助信息!E:M,9,FALSE)</f>
        <v>#N/A</v>
      </c>
      <c r="R2285" s="29" vm="1" t="e">
        <f>_xlfn._xlws.FILTER(辅助信息!D:D,辅助信息!E:E=B2285)</f>
        <v>#VALUE!</v>
      </c>
    </row>
    <row r="2286" hidden="1" spans="1:18">
      <c r="A2286" s="129"/>
      <c r="B2286" s="120" t="s">
        <v>156</v>
      </c>
      <c r="C2286" s="70">
        <v>45855</v>
      </c>
      <c r="D2286" s="120" t="e">
        <f>VLOOKUP(B2286,辅助信息!E:K,7,FALSE)</f>
        <v>#N/A</v>
      </c>
      <c r="E2286" s="120" t="str">
        <f>VLOOKUP(F2286,辅助信息!A:B,2,FALSE)</f>
        <v>螺纹钢</v>
      </c>
      <c r="F2286" s="120" t="s">
        <v>30</v>
      </c>
      <c r="G2286" s="121">
        <v>17</v>
      </c>
      <c r="H2286" s="134" t="e">
        <f>_xlfn.XLOOKUP(C2286&amp;F2286&amp;I2286&amp;J2286,'[1]2025年已发货'!$F:$F&amp;'[1]2025年已发货'!$C:$C&amp;'[1]2025年已发货'!$G:$G&amp;'[1]2025年已发货'!$H:$H,'[1]2025年已发货'!$E:$E,"未发货")</f>
        <v>#N/A</v>
      </c>
      <c r="I2286" s="120" t="e">
        <f>VLOOKUP(B2286,辅助信息!E:I,3,FALSE)</f>
        <v>#N/A</v>
      </c>
      <c r="J2286" s="120" t="e">
        <f>VLOOKUP(B2286,辅助信息!E:I,4,FALSE)</f>
        <v>#N/A</v>
      </c>
      <c r="K2286" s="120" t="e">
        <f>VLOOKUP(J2286,辅助信息!H:I,2,FALSE)</f>
        <v>#N/A</v>
      </c>
      <c r="L2286" s="122" t="e">
        <f>VLOOKUP(B2286,辅助信息!E:J,6,FALSE)</f>
        <v>#N/A</v>
      </c>
      <c r="M2286" s="91">
        <v>45855</v>
      </c>
      <c r="O2286" s="62">
        <f ca="1" t="shared" si="151"/>
        <v>0</v>
      </c>
      <c r="P2286" s="62">
        <f ca="1" t="shared" si="152"/>
        <v>105</v>
      </c>
      <c r="Q2286" s="29" t="e">
        <f>VLOOKUP(B2286,辅助信息!E:M,9,FALSE)</f>
        <v>#N/A</v>
      </c>
      <c r="R2286" s="29" vm="1" t="e">
        <f>_xlfn._xlws.FILTER(辅助信息!D:D,辅助信息!E:E=B2286)</f>
        <v>#VALUE!</v>
      </c>
    </row>
    <row r="2287" hidden="1" spans="1:18">
      <c r="A2287" s="129"/>
      <c r="B2287" s="120" t="s">
        <v>156</v>
      </c>
      <c r="C2287" s="70">
        <v>45855</v>
      </c>
      <c r="D2287" s="120" t="e">
        <f>VLOOKUP(B2287,辅助信息!E:K,7,FALSE)</f>
        <v>#N/A</v>
      </c>
      <c r="E2287" s="120" t="str">
        <f>VLOOKUP(F2287,辅助信息!A:B,2,FALSE)</f>
        <v>螺纹钢</v>
      </c>
      <c r="F2287" s="120" t="s">
        <v>18</v>
      </c>
      <c r="G2287" s="121">
        <v>8</v>
      </c>
      <c r="H2287" s="134" t="e">
        <f>_xlfn.XLOOKUP(C2287&amp;F2287&amp;I2287&amp;J2287,'[1]2025年已发货'!$F:$F&amp;'[1]2025年已发货'!$C:$C&amp;'[1]2025年已发货'!$G:$G&amp;'[1]2025年已发货'!$H:$H,'[1]2025年已发货'!$E:$E,"未发货")</f>
        <v>#N/A</v>
      </c>
      <c r="I2287" s="120" t="e">
        <f>VLOOKUP(B2287,辅助信息!E:I,3,FALSE)</f>
        <v>#N/A</v>
      </c>
      <c r="J2287" s="120" t="e">
        <f>VLOOKUP(B2287,辅助信息!E:I,4,FALSE)</f>
        <v>#N/A</v>
      </c>
      <c r="K2287" s="120" t="e">
        <f>VLOOKUP(J2287,辅助信息!H:I,2,FALSE)</f>
        <v>#N/A</v>
      </c>
      <c r="L2287" s="122" t="e">
        <f>VLOOKUP(B2287,辅助信息!E:J,6,FALSE)</f>
        <v>#N/A</v>
      </c>
      <c r="M2287" s="91">
        <v>45855</v>
      </c>
      <c r="O2287" s="62">
        <f ca="1" t="shared" si="151"/>
        <v>0</v>
      </c>
      <c r="P2287" s="62">
        <f ca="1" t="shared" si="152"/>
        <v>105</v>
      </c>
      <c r="Q2287" s="29" t="e">
        <f>VLOOKUP(B2287,辅助信息!E:M,9,FALSE)</f>
        <v>#N/A</v>
      </c>
      <c r="R2287" s="29" vm="1" t="e">
        <f>_xlfn._xlws.FILTER(辅助信息!D:D,辅助信息!E:E=B2287)</f>
        <v>#VALUE!</v>
      </c>
    </row>
    <row r="2288" hidden="1" spans="2:18">
      <c r="B2288" s="120" t="s">
        <v>47</v>
      </c>
      <c r="C2288" s="70">
        <v>45855</v>
      </c>
      <c r="D2288" s="120" t="str">
        <f>VLOOKUP(B2288,辅助信息!E:K,7,FALSE)</f>
        <v>JWDDCD2025052800131</v>
      </c>
      <c r="E2288" s="120" t="str">
        <f>VLOOKUP(F2288,辅助信息!A:B,2,FALSE)</f>
        <v>螺纹钢</v>
      </c>
      <c r="F2288" s="120" t="s">
        <v>66</v>
      </c>
      <c r="G2288" s="121">
        <v>6</v>
      </c>
      <c r="H2288" s="134">
        <f>_xlfn.XLOOKUP(C2288&amp;F2288&amp;I2288&amp;J2288,'[1]2025年已发货'!$F:$F&amp;'[1]2025年已发货'!$C:$C&amp;'[1]2025年已发货'!$G:$G&amp;'[1]2025年已发货'!$H:$H,'[1]2025年已发货'!$E:$E,"未发货")</f>
        <v>6</v>
      </c>
      <c r="I2288" s="120" t="str">
        <f>VLOOKUP(B2288,辅助信息!E:I,3,FALSE)</f>
        <v>（商投建工达州中医药科技园-1工区）达州市通川区达州中医药职业学院犀牛大道北段</v>
      </c>
      <c r="J2288" s="120" t="str">
        <f>VLOOKUP(B2288,辅助信息!E:I,4,FALSE)</f>
        <v>程黄刚</v>
      </c>
      <c r="K2288" s="120">
        <f>VLOOKUP(J2288,辅助信息!H:I,2,FALSE)</f>
        <v>15108211617</v>
      </c>
      <c r="L2288" s="122" t="str">
        <f>VLOOKUP(B2288,辅助信息!E:J,6,FALSE)</f>
        <v>控制炉批号！多了现场不收！,优先安排达钢,提前联系到场规格及数量</v>
      </c>
      <c r="M2288" s="91">
        <v>45855</v>
      </c>
      <c r="O2288" s="62">
        <f ca="1" t="shared" si="151"/>
        <v>0</v>
      </c>
      <c r="P2288" s="62">
        <f ca="1" t="shared" si="152"/>
        <v>105</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0" t="s">
        <v>47</v>
      </c>
      <c r="C2289" s="70">
        <v>45855</v>
      </c>
      <c r="D2289" s="120" t="str">
        <f>VLOOKUP(B2289,辅助信息!E:K,7,FALSE)</f>
        <v>JWDDCD2025052800131</v>
      </c>
      <c r="E2289" s="120" t="str">
        <f>VLOOKUP(F2289,辅助信息!A:B,2,FALSE)</f>
        <v>螺纹钢</v>
      </c>
      <c r="F2289" s="120" t="s">
        <v>45</v>
      </c>
      <c r="G2289" s="121">
        <v>6</v>
      </c>
      <c r="H2289" s="134">
        <f>_xlfn.XLOOKUP(C2289&amp;F2289&amp;I2289&amp;J2289,'[1]2025年已发货'!$F:$F&amp;'[1]2025年已发货'!$C:$C&amp;'[1]2025年已发货'!$G:$G&amp;'[1]2025年已发货'!$H:$H,'[1]2025年已发货'!$E:$E,"未发货")</f>
        <v>6</v>
      </c>
      <c r="I2289" s="120" t="str">
        <f>VLOOKUP(B2289,辅助信息!E:I,3,FALSE)</f>
        <v>（商投建工达州中医药科技园-1工区）达州市通川区达州中医药职业学院犀牛大道北段</v>
      </c>
      <c r="J2289" s="120" t="str">
        <f>VLOOKUP(B2289,辅助信息!E:I,4,FALSE)</f>
        <v>程黄刚</v>
      </c>
      <c r="K2289" s="120">
        <f>VLOOKUP(J2289,辅助信息!H:I,2,FALSE)</f>
        <v>15108211617</v>
      </c>
      <c r="L2289" s="122" t="str">
        <f>VLOOKUP(B2289,辅助信息!E:J,6,FALSE)</f>
        <v>控制炉批号！多了现场不收！,优先安排达钢,提前联系到场规格及数量</v>
      </c>
      <c r="M2289" s="91">
        <v>45855</v>
      </c>
      <c r="O2289" s="62">
        <f ca="1" t="shared" si="151"/>
        <v>0</v>
      </c>
      <c r="P2289" s="62">
        <f ca="1" t="shared" si="152"/>
        <v>105</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0" t="s">
        <v>47</v>
      </c>
      <c r="C2290" s="70">
        <v>45855</v>
      </c>
      <c r="D2290" s="120" t="str">
        <f>VLOOKUP(B2290,辅助信息!E:K,7,FALSE)</f>
        <v>JWDDCD2025052800131</v>
      </c>
      <c r="E2290" s="120" t="str">
        <f>VLOOKUP(F2290,辅助信息!A:B,2,FALSE)</f>
        <v>螺纹钢</v>
      </c>
      <c r="F2290" s="120" t="s">
        <v>21</v>
      </c>
      <c r="G2290" s="121">
        <v>6</v>
      </c>
      <c r="H2290" s="134">
        <f>_xlfn.XLOOKUP(C2290&amp;F2290&amp;I2290&amp;J2290,'[1]2025年已发货'!$F:$F&amp;'[1]2025年已发货'!$C:$C&amp;'[1]2025年已发货'!$G:$G&amp;'[1]2025年已发货'!$H:$H,'[1]2025年已发货'!$E:$E,"未发货")</f>
        <v>6</v>
      </c>
      <c r="I2290" s="120" t="str">
        <f>VLOOKUP(B2290,辅助信息!E:I,3,FALSE)</f>
        <v>（商投建工达州中医药科技园-1工区）达州市通川区达州中医药职业学院犀牛大道北段</v>
      </c>
      <c r="J2290" s="120" t="str">
        <f>VLOOKUP(B2290,辅助信息!E:I,4,FALSE)</f>
        <v>程黄刚</v>
      </c>
      <c r="K2290" s="120">
        <f>VLOOKUP(J2290,辅助信息!H:I,2,FALSE)</f>
        <v>15108211617</v>
      </c>
      <c r="L2290" s="122" t="str">
        <f>VLOOKUP(B2290,辅助信息!E:J,6,FALSE)</f>
        <v>控制炉批号！多了现场不收！,优先安排达钢,提前联系到场规格及数量</v>
      </c>
      <c r="M2290" s="91">
        <v>45855</v>
      </c>
      <c r="O2290" s="62">
        <f ca="1" t="shared" si="151"/>
        <v>0</v>
      </c>
      <c r="P2290" s="62">
        <f ca="1" t="shared" si="152"/>
        <v>105</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0" t="s">
        <v>47</v>
      </c>
      <c r="C2291" s="70">
        <v>45855</v>
      </c>
      <c r="D2291" s="120" t="str">
        <f>VLOOKUP(B2291,辅助信息!E:K,7,FALSE)</f>
        <v>JWDDCD2025052800131</v>
      </c>
      <c r="E2291" s="120" t="str">
        <f>VLOOKUP(F2291,辅助信息!A:B,2,FALSE)</f>
        <v>螺纹钢</v>
      </c>
      <c r="F2291" s="120" t="s">
        <v>46</v>
      </c>
      <c r="G2291" s="121">
        <v>17</v>
      </c>
      <c r="H2291" s="134">
        <f>_xlfn.XLOOKUP(C2291&amp;F2291&amp;I2291&amp;J2291,'[1]2025年已发货'!$F:$F&amp;'[1]2025年已发货'!$C:$C&amp;'[1]2025年已发货'!$G:$G&amp;'[1]2025年已发货'!$H:$H,'[1]2025年已发货'!$E:$E,"未发货")</f>
        <v>17</v>
      </c>
      <c r="I2291" s="120" t="str">
        <f>VLOOKUP(B2291,辅助信息!E:I,3,FALSE)</f>
        <v>（商投建工达州中医药科技园-1工区）达州市通川区达州中医药职业学院犀牛大道北段</v>
      </c>
      <c r="J2291" s="120" t="str">
        <f>VLOOKUP(B2291,辅助信息!E:I,4,FALSE)</f>
        <v>程黄刚</v>
      </c>
      <c r="K2291" s="120">
        <f>VLOOKUP(J2291,辅助信息!H:I,2,FALSE)</f>
        <v>15108211617</v>
      </c>
      <c r="L2291" s="122" t="str">
        <f>VLOOKUP(B2291,辅助信息!E:J,6,FALSE)</f>
        <v>控制炉批号！多了现场不收！,优先安排达钢,提前联系到场规格及数量</v>
      </c>
      <c r="M2291" s="91">
        <v>45855</v>
      </c>
      <c r="O2291" s="62">
        <f ca="1" t="shared" si="151"/>
        <v>0</v>
      </c>
      <c r="P2291" s="62">
        <f ca="1" t="shared" si="152"/>
        <v>105</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0" t="s">
        <v>162</v>
      </c>
      <c r="C2292" s="70">
        <v>45854</v>
      </c>
      <c r="D2292" s="120" t="str">
        <f>VLOOKUP(B2292,辅助信息!E:K,7,FALSE)</f>
        <v>JWDD2025071500089</v>
      </c>
      <c r="E2292" s="120" t="str">
        <f>VLOOKUP(F2292,辅助信息!A:B,2,FALSE)</f>
        <v>螺纹钢</v>
      </c>
      <c r="F2292" s="120" t="s">
        <v>30</v>
      </c>
      <c r="G2292" s="121">
        <v>35</v>
      </c>
      <c r="H2292" s="134" t="str">
        <f>_xlfn.XLOOKUP(C2292&amp;F2292&amp;I2292&amp;J2292,'[1]2025年已发货'!$F:$F&amp;'[1]2025年已发货'!$C:$C&amp;'[1]2025年已发货'!$G:$G&amp;'[1]2025年已发货'!$H:$H,'[1]2025年已发货'!$E:$E,"未发货")</f>
        <v>未发货</v>
      </c>
      <c r="I2292" s="120" t="str">
        <f>VLOOKUP(B2292,辅助信息!E:I,3,FALSE)</f>
        <v>(宜宾兴港三江新区长江工业园保障性租赁住房建设项目-2标)四川省宜宾市翠屏区永善路南段宜宾市三江新区长江工业园区</v>
      </c>
      <c r="J2292" s="120" t="str">
        <f>VLOOKUP(B2292,辅助信息!E:I,4,FALSE)</f>
        <v>赵元虎</v>
      </c>
      <c r="K2292" s="120">
        <f>VLOOKUP(J2292,辅助信息!H:I,2,FALSE)</f>
        <v>13684167136</v>
      </c>
      <c r="L2292" s="122" t="str">
        <f>VLOOKUP(B2292,辅助信息!E:J,6,FALSE)</f>
        <v>现场要求调度统一联系指定收货人，不单独发司机位置。锈货不收，装货前联系收货人核实到场规格,没提前告知进场规格现场不给予接收</v>
      </c>
      <c r="O2292" s="62" t="str">
        <f ca="1" t="shared" si="151"/>
        <v/>
      </c>
      <c r="P2292" s="62"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0">
        <v>45855</v>
      </c>
      <c r="D2293" s="40" t="str">
        <f>VLOOKUP(B2293,辅助信息!E:K,7,FALSE)</f>
        <v>JWDD2025071500089</v>
      </c>
      <c r="E2293" s="40" t="str">
        <f>VLOOKUP(F2293,辅助信息!A:B,2,FALSE)</f>
        <v>盘螺</v>
      </c>
      <c r="F2293" s="40" t="s">
        <v>41</v>
      </c>
      <c r="G2293" s="36">
        <v>8</v>
      </c>
      <c r="H2293" s="134"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09" t="str">
        <f>VLOOKUP(B2293,辅助信息!E:J,6,FALSE)</f>
        <v>现场要求调度统一联系指定收货人，不单独发司机位置。锈货不收，装货前联系收货人核实到场规格,没提前告知进场规格现场不给予接收</v>
      </c>
      <c r="M2293" s="91">
        <v>45860</v>
      </c>
      <c r="O2293" s="62">
        <f ca="1" t="shared" si="151"/>
        <v>0</v>
      </c>
      <c r="P2293" s="62">
        <f ca="1" t="shared" si="152"/>
        <v>100</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0">
        <v>45855</v>
      </c>
      <c r="D2294" s="40" t="str">
        <f>VLOOKUP(B2294,辅助信息!E:K,7,FALSE)</f>
        <v>JWDD2025071500089</v>
      </c>
      <c r="E2294" s="40" t="str">
        <f>VLOOKUP(F2294,辅助信息!A:B,2,FALSE)</f>
        <v>螺纹钢</v>
      </c>
      <c r="F2294" s="40" t="s">
        <v>27</v>
      </c>
      <c r="G2294" s="36">
        <v>10</v>
      </c>
      <c r="H2294" s="134"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09" t="str">
        <f>VLOOKUP(B2294,辅助信息!E:J,6,FALSE)</f>
        <v>现场要求调度统一联系指定收货人，不单独发司机位置。锈货不收，装货前联系收货人核实到场规格,没提前告知进场规格现场不给予接收</v>
      </c>
      <c r="M2294" s="91">
        <v>45860</v>
      </c>
      <c r="O2294" s="62">
        <f ca="1" t="shared" si="151"/>
        <v>0</v>
      </c>
      <c r="P2294" s="62">
        <f ca="1" t="shared" si="152"/>
        <v>100</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0">
        <v>45855</v>
      </c>
      <c r="D2295" s="40" t="str">
        <f>VLOOKUP(B2295,辅助信息!E:K,7,FALSE)</f>
        <v>JWDD2025071500089</v>
      </c>
      <c r="E2295" s="40" t="str">
        <f>VLOOKUP(F2295,辅助信息!A:B,2,FALSE)</f>
        <v>螺纹钢</v>
      </c>
      <c r="F2295" s="40" t="s">
        <v>19</v>
      </c>
      <c r="G2295" s="36">
        <v>50</v>
      </c>
      <c r="H2295" s="134"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09" t="str">
        <f>VLOOKUP(B2295,辅助信息!E:J,6,FALSE)</f>
        <v>现场要求调度统一联系指定收货人，不单独发司机位置。锈货不收，装货前联系收货人核实到场规格,没提前告知进场规格现场不给予接收</v>
      </c>
      <c r="M2295" s="91">
        <v>45860</v>
      </c>
      <c r="O2295" s="62">
        <f ca="1" t="shared" si="151"/>
        <v>0</v>
      </c>
      <c r="P2295" s="62">
        <f ca="1" t="shared" si="152"/>
        <v>100</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0">
        <v>45855</v>
      </c>
      <c r="D2296" s="40" t="str">
        <f>VLOOKUP(B2296,辅助信息!E:K,7,FALSE)</f>
        <v>JWDD2025071500089</v>
      </c>
      <c r="E2296" s="40" t="str">
        <f>VLOOKUP(F2296,辅助信息!A:B,2,FALSE)</f>
        <v>螺纹钢</v>
      </c>
      <c r="F2296" s="40" t="s">
        <v>32</v>
      </c>
      <c r="G2296" s="36">
        <v>50</v>
      </c>
      <c r="H2296" s="134"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09" t="str">
        <f>VLOOKUP(B2296,辅助信息!E:J,6,FALSE)</f>
        <v>现场要求调度统一联系指定收货人，不单独发司机位置。锈货不收，装货前联系收货人核实到场规格,没提前告知进场规格现场不给予接收</v>
      </c>
      <c r="M2296" s="91">
        <v>45860</v>
      </c>
      <c r="O2296" s="62">
        <f ca="1" t="shared" si="151"/>
        <v>0</v>
      </c>
      <c r="P2296" s="62">
        <f ca="1" t="shared" si="152"/>
        <v>100</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0">
        <v>45855</v>
      </c>
      <c r="D2297" s="40" t="str">
        <f>VLOOKUP(B2297,辅助信息!E:K,7,FALSE)</f>
        <v>JWDD2025071500089</v>
      </c>
      <c r="E2297" s="40" t="str">
        <f>VLOOKUP(F2297,辅助信息!A:B,2,FALSE)</f>
        <v>螺纹钢</v>
      </c>
      <c r="F2297" s="40" t="s">
        <v>30</v>
      </c>
      <c r="G2297" s="36">
        <v>25</v>
      </c>
      <c r="H2297" s="134"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09" t="str">
        <f>VLOOKUP(B2297,辅助信息!E:J,6,FALSE)</f>
        <v>现场要求调度统一联系指定收货人，不单独发司机位置。锈货不收，装货前联系收货人核实到场规格,没提前告知进场规格现场不给予接收</v>
      </c>
      <c r="M2297" s="91">
        <v>45860</v>
      </c>
      <c r="O2297" s="62">
        <f ca="1" t="shared" si="151"/>
        <v>0</v>
      </c>
      <c r="P2297" s="62">
        <f ca="1" t="shared" si="152"/>
        <v>100</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0">
        <v>45855</v>
      </c>
      <c r="D2298" s="40" t="str">
        <f>VLOOKUP(B2298,辅助信息!E:K,7,FALSE)</f>
        <v>JWDD2025071500089</v>
      </c>
      <c r="E2298" s="40" t="str">
        <f>VLOOKUP(F2298,辅助信息!A:B,2,FALSE)</f>
        <v>螺纹钢</v>
      </c>
      <c r="F2298" s="40" t="s">
        <v>28</v>
      </c>
      <c r="G2298" s="36">
        <v>6</v>
      </c>
      <c r="H2298" s="134"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09" t="str">
        <f>VLOOKUP(B2298,辅助信息!E:J,6,FALSE)</f>
        <v>现场要求调度统一联系指定收货人，不单独发司机位置。锈货不收，装货前联系收货人核实到场规格,没提前告知进场规格现场不给予接收</v>
      </c>
      <c r="M2298" s="91">
        <v>45860</v>
      </c>
      <c r="O2298" s="62">
        <f ca="1" t="shared" si="151"/>
        <v>0</v>
      </c>
      <c r="P2298" s="62">
        <f ca="1" t="shared" si="152"/>
        <v>100</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0">
        <v>45855</v>
      </c>
      <c r="D2299" s="40" t="str">
        <f>VLOOKUP(B2299,辅助信息!E:K,7,FALSE)</f>
        <v>JWDD2025071500089</v>
      </c>
      <c r="E2299" s="40" t="str">
        <f>VLOOKUP(F2299,辅助信息!A:B,2,FALSE)</f>
        <v>螺纹钢</v>
      </c>
      <c r="F2299" s="40" t="s">
        <v>18</v>
      </c>
      <c r="G2299" s="36">
        <v>38</v>
      </c>
      <c r="H2299" s="134"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09" t="str">
        <f>VLOOKUP(B2299,辅助信息!E:J,6,FALSE)</f>
        <v>现场要求调度统一联系指定收货人，不单独发司机位置。锈货不收，装货前联系收货人核实到场规格,没提前告知进场规格现场不给予接收</v>
      </c>
      <c r="M2299" s="91">
        <v>45860</v>
      </c>
      <c r="O2299" s="62">
        <f ca="1" t="shared" si="151"/>
        <v>0</v>
      </c>
      <c r="P2299" s="62">
        <f ca="1" t="shared" si="152"/>
        <v>100</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0">
        <v>45856</v>
      </c>
      <c r="D2300" s="40" t="str">
        <f>VLOOKUP(B2300,辅助信息!E:K,7,FALSE)</f>
        <v>JWDDCD2025102100473</v>
      </c>
      <c r="E2300" s="40" t="str">
        <f>VLOOKUP(F2300,辅助信息!A:B,2,FALSE)</f>
        <v>螺纹钢</v>
      </c>
      <c r="F2300" s="40" t="s">
        <v>19</v>
      </c>
      <c r="G2300" s="36">
        <v>12</v>
      </c>
      <c r="H2300" s="134">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09"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1">
        <v>45860</v>
      </c>
      <c r="O2300" s="62">
        <f ca="1" t="shared" si="151"/>
        <v>0</v>
      </c>
      <c r="P2300" s="62">
        <f ca="1" t="shared" si="152"/>
        <v>100</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0">
        <v>45856</v>
      </c>
      <c r="D2301" s="40" t="str">
        <f>VLOOKUP(B2301,辅助信息!E:K,7,FALSE)</f>
        <v>JWDDCD2025102100473</v>
      </c>
      <c r="E2301" s="40" t="str">
        <f>VLOOKUP(F2301,辅助信息!A:B,2,FALSE)</f>
        <v>螺纹钢</v>
      </c>
      <c r="F2301" s="40" t="s">
        <v>32</v>
      </c>
      <c r="G2301" s="36">
        <v>40</v>
      </c>
      <c r="H2301" s="134">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09"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1">
        <v>45860</v>
      </c>
      <c r="O2301" s="62">
        <f ca="1" t="shared" si="151"/>
        <v>0</v>
      </c>
      <c r="P2301" s="62">
        <f ca="1" t="shared" si="152"/>
        <v>100</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0">
        <v>45856</v>
      </c>
      <c r="D2302" s="40" t="str">
        <f>VLOOKUP(B2302,辅助信息!E:K,7,FALSE)</f>
        <v>JWDDCD2025102100473</v>
      </c>
      <c r="E2302" s="40" t="str">
        <f>VLOOKUP(F2302,辅助信息!A:B,2,FALSE)</f>
        <v>螺纹钢</v>
      </c>
      <c r="F2302" s="40" t="s">
        <v>30</v>
      </c>
      <c r="G2302" s="36">
        <f>205-70</f>
        <v>135</v>
      </c>
      <c r="H2302" s="134">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09"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1">
        <v>45860</v>
      </c>
      <c r="O2302" s="62">
        <f ca="1" t="shared" si="151"/>
        <v>0</v>
      </c>
      <c r="P2302" s="62">
        <f ca="1" t="shared" si="152"/>
        <v>100</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0">
        <v>45856</v>
      </c>
      <c r="D2303" s="40" t="str">
        <f>VLOOKUP(B2303,辅助信息!E:K,7,FALSE)</f>
        <v>JWDDCD2025102100473</v>
      </c>
      <c r="E2303" s="40" t="str">
        <f>VLOOKUP(F2303,辅助信息!A:B,2,FALSE)</f>
        <v>螺纹钢</v>
      </c>
      <c r="F2303" s="40" t="s">
        <v>28</v>
      </c>
      <c r="G2303" s="36">
        <v>21</v>
      </c>
      <c r="H2303" s="134">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09"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1">
        <v>45860</v>
      </c>
      <c r="O2303" s="62">
        <f ca="1" t="shared" si="151"/>
        <v>0</v>
      </c>
      <c r="P2303" s="62">
        <f ca="1" t="shared" si="152"/>
        <v>100</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0">
        <v>45856</v>
      </c>
      <c r="D2304" s="40" t="str">
        <f>VLOOKUP(B2304,辅助信息!E:K,7,FALSE)</f>
        <v>JWDDCD2024121000136</v>
      </c>
      <c r="E2304" s="40" t="str">
        <f>VLOOKUP(F2304,辅助信息!A:B,2,FALSE)</f>
        <v>盘螺</v>
      </c>
      <c r="F2304" s="40" t="s">
        <v>49</v>
      </c>
      <c r="G2304" s="36">
        <v>26</v>
      </c>
      <c r="H2304" s="134">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09" t="str">
        <f>VLOOKUP(B2304,辅助信息!E:J,6,FALSE)</f>
        <v>提前联系到场规格及数量</v>
      </c>
      <c r="M2304" s="91">
        <v>45860</v>
      </c>
      <c r="O2304" s="62">
        <f ca="1" t="shared" si="151"/>
        <v>0</v>
      </c>
      <c r="P2304" s="62">
        <f ca="1" t="shared" si="152"/>
        <v>100</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0">
        <v>45856</v>
      </c>
      <c r="D2305" s="40" t="str">
        <f>VLOOKUP(B2305,辅助信息!E:K,7,FALSE)</f>
        <v>JWDDCD2024121000136</v>
      </c>
      <c r="E2305" s="40" t="str">
        <f>VLOOKUP(F2305,辅助信息!A:B,2,FALSE)</f>
        <v>螺纹钢</v>
      </c>
      <c r="F2305" s="40" t="s">
        <v>18</v>
      </c>
      <c r="G2305" s="36">
        <v>9</v>
      </c>
      <c r="H2305" s="134">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09" t="str">
        <f>VLOOKUP(B2305,辅助信息!E:J,6,FALSE)</f>
        <v>提前联系到场规格及数量</v>
      </c>
      <c r="M2305" s="91">
        <v>45860</v>
      </c>
      <c r="O2305" s="62">
        <f ca="1" t="shared" si="151"/>
        <v>0</v>
      </c>
      <c r="P2305" s="62">
        <f ca="1" t="shared" si="152"/>
        <v>100</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0">
        <v>45857</v>
      </c>
      <c r="D2306" s="40" t="str">
        <f>VLOOKUP(B2306,辅助信息!E:K,7,FALSE)</f>
        <v>JWDDCD2025102100476</v>
      </c>
      <c r="E2306" s="40" t="str">
        <f>VLOOKUP(F2306,辅助信息!A:B,2,FALSE)</f>
        <v>盘螺</v>
      </c>
      <c r="F2306" s="40" t="s">
        <v>49</v>
      </c>
      <c r="G2306" s="36">
        <v>2.5</v>
      </c>
      <c r="H2306" s="134">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09"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1">
        <v>45860</v>
      </c>
      <c r="O2306" s="62">
        <f ca="1" t="shared" si="151"/>
        <v>0</v>
      </c>
      <c r="P2306" s="62">
        <f ca="1" t="shared" si="152"/>
        <v>100</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0">
        <v>45857</v>
      </c>
      <c r="D2307" s="40" t="str">
        <f>VLOOKUP(B2307,辅助信息!E:K,7,FALSE)</f>
        <v>JWDDCD2025102100476</v>
      </c>
      <c r="E2307" s="40" t="str">
        <f>VLOOKUP(F2307,辅助信息!A:B,2,FALSE)</f>
        <v>盘螺</v>
      </c>
      <c r="F2307" s="40" t="s">
        <v>40</v>
      </c>
      <c r="G2307" s="36">
        <v>5</v>
      </c>
      <c r="H2307" s="134">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09"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1">
        <v>45860</v>
      </c>
      <c r="O2307" s="62">
        <f ca="1" t="shared" si="151"/>
        <v>0</v>
      </c>
      <c r="P2307" s="62">
        <f ca="1" t="shared" si="152"/>
        <v>100</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0">
        <v>45857</v>
      </c>
      <c r="D2308" s="40" t="str">
        <f>VLOOKUP(B2308,辅助信息!E:K,7,FALSE)</f>
        <v>JWDDCD2025102100476</v>
      </c>
      <c r="E2308" s="40" t="str">
        <f>VLOOKUP(F2308,辅助信息!A:B,2,FALSE)</f>
        <v>盘螺</v>
      </c>
      <c r="F2308" s="40" t="s">
        <v>41</v>
      </c>
      <c r="G2308" s="36">
        <v>2.5</v>
      </c>
      <c r="H2308" s="134">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09"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1">
        <v>45860</v>
      </c>
      <c r="O2308" s="62">
        <f ca="1" t="shared" si="151"/>
        <v>0</v>
      </c>
      <c r="P2308" s="62">
        <f ca="1" t="shared" si="152"/>
        <v>100</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0">
        <v>45857</v>
      </c>
      <c r="D2309" s="40" t="str">
        <f>VLOOKUP(B2309,辅助信息!E:K,7,FALSE)</f>
        <v>JWDDCD2025102100476</v>
      </c>
      <c r="E2309" s="40" t="str">
        <f>VLOOKUP(F2309,辅助信息!A:B,2,FALSE)</f>
        <v>螺纹钢</v>
      </c>
      <c r="F2309" s="40" t="s">
        <v>27</v>
      </c>
      <c r="G2309" s="36">
        <v>40</v>
      </c>
      <c r="H2309" s="134">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09"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1">
        <v>45860</v>
      </c>
      <c r="O2309" s="62">
        <f ca="1" t="shared" si="151"/>
        <v>0</v>
      </c>
      <c r="P2309" s="62">
        <f ca="1" t="shared" si="152"/>
        <v>100</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0">
        <v>45857</v>
      </c>
      <c r="D2310" s="40" t="str">
        <f>VLOOKUP(B2310,辅助信息!E:K,7,FALSE)</f>
        <v>JWDDCD2025102100476</v>
      </c>
      <c r="E2310" s="40" t="str">
        <f>VLOOKUP(F2310,辅助信息!A:B,2,FALSE)</f>
        <v>螺纹钢</v>
      </c>
      <c r="F2310" s="40" t="s">
        <v>19</v>
      </c>
      <c r="G2310" s="36">
        <v>70</v>
      </c>
      <c r="H2310" s="134">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09"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1">
        <v>45860</v>
      </c>
      <c r="O2310" s="62">
        <f ca="1" t="shared" si="151"/>
        <v>0</v>
      </c>
      <c r="P2310" s="62">
        <f ca="1" t="shared" si="152"/>
        <v>100</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0">
        <v>45857</v>
      </c>
      <c r="D2311" s="40" t="str">
        <f>VLOOKUP(B2311,辅助信息!E:K,7,FALSE)</f>
        <v>JWDDCD2025102100476</v>
      </c>
      <c r="E2311" s="40" t="str">
        <f>VLOOKUP(F2311,辅助信息!A:B,2,FALSE)</f>
        <v>螺纹钢</v>
      </c>
      <c r="F2311" s="40" t="s">
        <v>32</v>
      </c>
      <c r="G2311" s="36">
        <v>15</v>
      </c>
      <c r="H2311" s="134">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09"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1">
        <v>45860</v>
      </c>
      <c r="O2311" s="62">
        <f ca="1" t="shared" si="151"/>
        <v>0</v>
      </c>
      <c r="P2311" s="62">
        <f ca="1" t="shared" si="152"/>
        <v>100</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0">
        <v>45857</v>
      </c>
      <c r="D2312" s="40" t="str">
        <f>VLOOKUP(B2312,辅助信息!E:K,7,FALSE)</f>
        <v>JWDDCD2025102100476</v>
      </c>
      <c r="E2312" s="40" t="str">
        <f>VLOOKUP(F2312,辅助信息!A:B,2,FALSE)</f>
        <v>螺纹钢</v>
      </c>
      <c r="F2312" s="40" t="s">
        <v>30</v>
      </c>
      <c r="G2312" s="36">
        <v>30</v>
      </c>
      <c r="H2312" s="134">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09"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1">
        <v>45860</v>
      </c>
      <c r="O2312" s="62">
        <f ca="1" t="shared" si="151"/>
        <v>0</v>
      </c>
      <c r="P2312" s="62">
        <f ca="1" t="shared" si="152"/>
        <v>100</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0">
        <v>45857</v>
      </c>
      <c r="D2313" s="40" t="str">
        <f>VLOOKUP(B2313,辅助信息!E:K,7,FALSE)</f>
        <v>JWDDCD2025102100476</v>
      </c>
      <c r="E2313" s="40" t="str">
        <f>VLOOKUP(F2313,辅助信息!A:B,2,FALSE)</f>
        <v>螺纹钢</v>
      </c>
      <c r="F2313" s="40" t="s">
        <v>33</v>
      </c>
      <c r="G2313" s="36">
        <v>10</v>
      </c>
      <c r="H2313" s="134">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09"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1">
        <v>45860</v>
      </c>
      <c r="O2313" s="62">
        <f ca="1" t="shared" si="151"/>
        <v>0</v>
      </c>
      <c r="P2313" s="62">
        <f ca="1" t="shared" si="152"/>
        <v>100</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0">
        <v>45857</v>
      </c>
      <c r="D2314" s="40" t="str">
        <f>VLOOKUP(B2314,辅助信息!E:K,7,FALSE)</f>
        <v>JWDDCD2025102100476</v>
      </c>
      <c r="E2314" s="40" t="str">
        <f>VLOOKUP(F2314,辅助信息!A:B,2,FALSE)</f>
        <v>螺纹钢</v>
      </c>
      <c r="F2314" s="40" t="s">
        <v>28</v>
      </c>
      <c r="G2314" s="36">
        <v>10</v>
      </c>
      <c r="H2314" s="134">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09"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1">
        <v>45860</v>
      </c>
      <c r="O2314" s="62">
        <f ca="1" t="shared" si="151"/>
        <v>0</v>
      </c>
      <c r="P2314" s="62">
        <f ca="1" t="shared" si="152"/>
        <v>100</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0">
        <v>45857</v>
      </c>
      <c r="D2315" s="40" t="str">
        <f>VLOOKUP(B2315,辅助信息!E:K,7,FALSE)</f>
        <v>JWDDCD2025102100476</v>
      </c>
      <c r="E2315" s="40" t="str">
        <f>VLOOKUP(F2315,辅助信息!A:B,2,FALSE)</f>
        <v>螺纹钢</v>
      </c>
      <c r="F2315" s="40" t="s">
        <v>18</v>
      </c>
      <c r="G2315" s="36">
        <v>20</v>
      </c>
      <c r="H2315" s="134">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09"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1">
        <v>45860</v>
      </c>
      <c r="O2315" s="62">
        <f ca="1" t="shared" si="151"/>
        <v>0</v>
      </c>
      <c r="P2315" s="62">
        <f ca="1" t="shared" si="152"/>
        <v>100</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0">
        <v>45857</v>
      </c>
      <c r="D2316" s="40" t="str">
        <f>VLOOKUP(B2316,辅助信息!E:K,7,FALSE)</f>
        <v>JWDDCD2025102100476</v>
      </c>
      <c r="E2316" s="40" t="str">
        <f>VLOOKUP(F2316,辅助信息!A:B,2,FALSE)</f>
        <v>螺纹钢</v>
      </c>
      <c r="F2316" s="40" t="s">
        <v>65</v>
      </c>
      <c r="G2316" s="36">
        <v>12.5</v>
      </c>
      <c r="H2316" s="134">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09"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1">
        <v>45860</v>
      </c>
      <c r="O2316" s="62">
        <f ca="1" t="shared" si="151"/>
        <v>0</v>
      </c>
      <c r="P2316" s="62">
        <f ca="1" t="shared" si="152"/>
        <v>100</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0">
        <v>45857</v>
      </c>
      <c r="D2317" s="40" t="str">
        <f>VLOOKUP(B2317,辅助信息!E:K,7,FALSE)</f>
        <v>JWDDCD2025102100476</v>
      </c>
      <c r="E2317" s="40" t="str">
        <f>VLOOKUP(F2317,辅助信息!A:B,2,FALSE)</f>
        <v>螺纹钢</v>
      </c>
      <c r="F2317" s="40" t="s">
        <v>45</v>
      </c>
      <c r="G2317" s="36">
        <v>2.5</v>
      </c>
      <c r="H2317" s="134">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09"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1">
        <v>45860</v>
      </c>
      <c r="O2317" s="62">
        <f ca="1" t="shared" si="151"/>
        <v>0</v>
      </c>
      <c r="P2317" s="62">
        <f ca="1" t="shared" si="152"/>
        <v>100</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0">
        <v>45857</v>
      </c>
      <c r="D2318" s="40" t="str">
        <f>VLOOKUP(B2318,辅助信息!E:K,7,FALSE)</f>
        <v>JWDDCD2025102100476</v>
      </c>
      <c r="E2318" s="40" t="str">
        <f>VLOOKUP(F2318,辅助信息!A:B,2,FALSE)</f>
        <v>螺纹钢</v>
      </c>
      <c r="F2318" s="40" t="s">
        <v>21</v>
      </c>
      <c r="G2318" s="36">
        <v>2.5</v>
      </c>
      <c r="H2318" s="134">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09"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1">
        <v>45860</v>
      </c>
      <c r="O2318" s="62">
        <f ca="1" t="shared" si="151"/>
        <v>0</v>
      </c>
      <c r="P2318" s="62">
        <f ca="1" t="shared" si="152"/>
        <v>100</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0">
        <v>45857</v>
      </c>
      <c r="D2319" s="40" t="str">
        <f>VLOOKUP(B2319,辅助信息!E:K,7,FALSE)</f>
        <v>JWDDCD2025102100476</v>
      </c>
      <c r="E2319" s="40" t="str">
        <f>VLOOKUP(F2319,辅助信息!A:B,2,FALSE)</f>
        <v>螺纹钢</v>
      </c>
      <c r="F2319" s="40" t="s">
        <v>58</v>
      </c>
      <c r="G2319" s="36">
        <v>2.5</v>
      </c>
      <c r="H2319" s="134">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09"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1">
        <v>45860</v>
      </c>
      <c r="O2319" s="62">
        <f ca="1" t="shared" si="151"/>
        <v>0</v>
      </c>
      <c r="P2319" s="62">
        <f ca="1" t="shared" si="152"/>
        <v>100</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0">
        <v>45857</v>
      </c>
      <c r="D2320" s="40" t="str">
        <f>VLOOKUP(B2320,辅助信息!E:K,7,FALSE)</f>
        <v>JWDDCD2025102100476</v>
      </c>
      <c r="E2320" s="40" t="str">
        <f>VLOOKUP(F2320,辅助信息!A:B,2,FALSE)</f>
        <v>螺纹钢</v>
      </c>
      <c r="F2320" s="40" t="s">
        <v>46</v>
      </c>
      <c r="G2320" s="36">
        <v>2.5</v>
      </c>
      <c r="H2320" s="134">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09"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1">
        <v>45860</v>
      </c>
      <c r="O2320" s="62">
        <f ca="1" t="shared" si="151"/>
        <v>0</v>
      </c>
      <c r="P2320" s="62">
        <f ca="1" t="shared" si="152"/>
        <v>100</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0">
        <v>45857</v>
      </c>
      <c r="D2321" s="40" t="str">
        <f>VLOOKUP(B2321,辅助信息!E:K,7,FALSE)</f>
        <v>JWDDCD2025102100476</v>
      </c>
      <c r="E2321" s="40" t="str">
        <f>VLOOKUP(F2321,辅助信息!A:B,2,FALSE)</f>
        <v>螺纹钢</v>
      </c>
      <c r="F2321" s="40" t="s">
        <v>22</v>
      </c>
      <c r="G2321" s="36">
        <v>10</v>
      </c>
      <c r="H2321" s="134">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09"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1">
        <v>45860</v>
      </c>
      <c r="O2321" s="62">
        <f ca="1" t="shared" si="151"/>
        <v>0</v>
      </c>
      <c r="P2321" s="62">
        <f ca="1" t="shared" si="152"/>
        <v>100</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0">
        <v>45857</v>
      </c>
      <c r="D2322" s="40" t="str">
        <f>VLOOKUP(B2322,辅助信息!E:K,7,FALSE)</f>
        <v>JWDDCD2025102100476</v>
      </c>
      <c r="E2322" s="40" t="str">
        <f>VLOOKUP(F2322,辅助信息!A:B,2,FALSE)</f>
        <v>螺纹钢</v>
      </c>
      <c r="F2322" s="40" t="s">
        <v>181</v>
      </c>
      <c r="G2322" s="36">
        <v>12.5</v>
      </c>
      <c r="H2322" s="134">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09"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1">
        <v>45860</v>
      </c>
      <c r="O2322" s="62">
        <f ca="1" t="shared" si="151"/>
        <v>0</v>
      </c>
      <c r="P2322" s="62">
        <f ca="1" t="shared" si="152"/>
        <v>100</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0">
        <v>45857</v>
      </c>
      <c r="D2323" s="40" t="str">
        <f>VLOOKUP(B2323,辅助信息!E:K,7,FALSE)</f>
        <v>JWDDCD2025102100476</v>
      </c>
      <c r="E2323" s="40" t="str">
        <f>VLOOKUP(F2323,辅助信息!A:B,2,FALSE)</f>
        <v>螺纹钢</v>
      </c>
      <c r="F2323" s="40" t="s">
        <v>182</v>
      </c>
      <c r="G2323" s="36">
        <v>15</v>
      </c>
      <c r="H2323" s="134">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09"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1">
        <v>45860</v>
      </c>
      <c r="O2323" s="62">
        <f ca="1" t="shared" si="151"/>
        <v>0</v>
      </c>
      <c r="P2323" s="62">
        <f ca="1" t="shared" si="152"/>
        <v>100</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7" t="s">
        <v>186</v>
      </c>
      <c r="C2324" s="70">
        <v>45857</v>
      </c>
      <c r="D2324" s="40" t="str">
        <f>VLOOKUP(B2324,辅助信息!E:K,7,FALSE)</f>
        <v>JWDDCD2025072900123</v>
      </c>
      <c r="E2324" s="40" t="str">
        <f>VLOOKUP(F2324,辅助信息!A:B,2,FALSE)</f>
        <v>螺纹钢</v>
      </c>
      <c r="F2324" s="40" t="s">
        <v>197</v>
      </c>
      <c r="G2324" s="36">
        <v>5</v>
      </c>
      <c r="H2324" s="134">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09" t="str">
        <f>VLOOKUP(B2324,辅助信息!E:J,6,FALSE)</f>
        <v>联系实际收货人（彭江涛13990276572）现场要求炉批号控制2个以下，超2个不给予签收。提前联系到场规格及数量</v>
      </c>
      <c r="M2324" s="91">
        <v>45860</v>
      </c>
      <c r="O2324" s="62">
        <f ca="1" t="shared" si="151"/>
        <v>0</v>
      </c>
      <c r="P2324" s="62">
        <f ca="1" t="shared" si="152"/>
        <v>100</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7" t="s">
        <v>186</v>
      </c>
      <c r="C2325" s="70">
        <v>45857</v>
      </c>
      <c r="D2325" s="40" t="str">
        <f>VLOOKUP(B2325,辅助信息!E:K,7,FALSE)</f>
        <v>JWDDCD2025072900123</v>
      </c>
      <c r="E2325" s="40" t="str">
        <f>VLOOKUP(F2325,辅助信息!A:B,2,FALSE)</f>
        <v>螺纹钢</v>
      </c>
      <c r="F2325" s="40" t="s">
        <v>198</v>
      </c>
      <c r="G2325" s="36">
        <v>12</v>
      </c>
      <c r="H2325" s="134">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09" t="str">
        <f>VLOOKUP(B2325,辅助信息!E:J,6,FALSE)</f>
        <v>联系实际收货人（彭江涛13990276572）现场要求炉批号控制2个以下，超2个不给予签收。提前联系到场规格及数量</v>
      </c>
      <c r="M2325" s="91">
        <v>45860</v>
      </c>
      <c r="O2325" s="62">
        <f ca="1" t="shared" si="151"/>
        <v>0</v>
      </c>
      <c r="P2325" s="62">
        <f ca="1" t="shared" si="152"/>
        <v>100</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7" t="s">
        <v>186</v>
      </c>
      <c r="C2326" s="70">
        <v>45857</v>
      </c>
      <c r="D2326" s="40" t="str">
        <f>VLOOKUP(B2326,辅助信息!E:K,7,FALSE)</f>
        <v>JWDDCD2025072900123</v>
      </c>
      <c r="E2326" s="40" t="str">
        <f>VLOOKUP(F2326,辅助信息!A:B,2,FALSE)</f>
        <v>螺纹钢</v>
      </c>
      <c r="F2326" s="40" t="s">
        <v>199</v>
      </c>
      <c r="G2326" s="36">
        <v>10</v>
      </c>
      <c r="H2326" s="134">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09" t="str">
        <f>VLOOKUP(B2326,辅助信息!E:J,6,FALSE)</f>
        <v>联系实际收货人（彭江涛13990276572）现场要求炉批号控制2个以下，超2个不给予签收。提前联系到场规格及数量</v>
      </c>
      <c r="M2326" s="91">
        <v>45860</v>
      </c>
      <c r="O2326" s="62">
        <f ca="1" t="shared" si="151"/>
        <v>0</v>
      </c>
      <c r="P2326" s="62">
        <f ca="1" t="shared" si="152"/>
        <v>100</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7" t="s">
        <v>186</v>
      </c>
      <c r="C2327" s="70">
        <v>45857</v>
      </c>
      <c r="D2327" s="40" t="str">
        <f>VLOOKUP(B2327,辅助信息!E:K,7,FALSE)</f>
        <v>JWDDCD2025072900123</v>
      </c>
      <c r="E2327" s="40" t="str">
        <f>VLOOKUP(F2327,辅助信息!A:B,2,FALSE)</f>
        <v>螺纹钢</v>
      </c>
      <c r="F2327" s="40" t="s">
        <v>141</v>
      </c>
      <c r="G2327" s="36">
        <v>17</v>
      </c>
      <c r="H2327" s="134">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09" t="str">
        <f>VLOOKUP(B2327,辅助信息!E:J,6,FALSE)</f>
        <v>联系实际收货人（彭江涛13990276572）现场要求炉批号控制2个以下，超2个不给予签收。提前联系到场规格及数量</v>
      </c>
      <c r="M2327" s="91">
        <v>45860</v>
      </c>
      <c r="O2327" s="62">
        <f ca="1" t="shared" si="151"/>
        <v>0</v>
      </c>
      <c r="P2327" s="62">
        <f ca="1" t="shared" si="152"/>
        <v>100</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7" t="s">
        <v>186</v>
      </c>
      <c r="C2328" s="70">
        <v>45857</v>
      </c>
      <c r="D2328" s="40" t="str">
        <f>VLOOKUP(B2328,辅助信息!E:K,7,FALSE)</f>
        <v>JWDDCD2025072900123</v>
      </c>
      <c r="E2328" s="40" t="str">
        <f>VLOOKUP(F2328,辅助信息!A:B,2,FALSE)</f>
        <v>螺纹钢</v>
      </c>
      <c r="F2328" s="40" t="s">
        <v>142</v>
      </c>
      <c r="G2328" s="36">
        <v>12</v>
      </c>
      <c r="H2328" s="134">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09" t="str">
        <f>VLOOKUP(B2328,辅助信息!E:J,6,FALSE)</f>
        <v>联系实际收货人（彭江涛13990276572）现场要求炉批号控制2个以下，超2个不给予签收。提前联系到场规格及数量</v>
      </c>
      <c r="M2328" s="91">
        <v>45860</v>
      </c>
      <c r="O2328" s="62">
        <f ca="1" t="shared" si="151"/>
        <v>0</v>
      </c>
      <c r="P2328" s="62">
        <f ca="1" t="shared" si="152"/>
        <v>100</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7" t="s">
        <v>186</v>
      </c>
      <c r="C2329" s="70">
        <v>45857</v>
      </c>
      <c r="D2329" s="40" t="str">
        <f>VLOOKUP(B2329,辅助信息!E:K,7,FALSE)</f>
        <v>JWDDCD2025072900123</v>
      </c>
      <c r="E2329" s="40" t="str">
        <f>VLOOKUP(F2329,辅助信息!A:B,2,FALSE)</f>
        <v>螺纹钢</v>
      </c>
      <c r="F2329" s="40" t="s">
        <v>200</v>
      </c>
      <c r="G2329" s="36">
        <v>6</v>
      </c>
      <c r="H2329" s="134">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09" t="str">
        <f>VLOOKUP(B2329,辅助信息!E:J,6,FALSE)</f>
        <v>联系实际收货人（彭江涛13990276572）现场要求炉批号控制2个以下，超2个不给予签收。提前联系到场规格及数量</v>
      </c>
      <c r="M2329" s="91">
        <v>45860</v>
      </c>
      <c r="O2329" s="62">
        <f ca="1" t="shared" si="151"/>
        <v>0</v>
      </c>
      <c r="P2329" s="62">
        <f ca="1" t="shared" si="152"/>
        <v>100</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7" t="s">
        <v>186</v>
      </c>
      <c r="C2330" s="70">
        <v>45857</v>
      </c>
      <c r="D2330" s="40" t="str">
        <f>VLOOKUP(B2330,辅助信息!E:K,7,FALSE)</f>
        <v>JWDDCD2025072900123</v>
      </c>
      <c r="E2330" s="40" t="str">
        <f>VLOOKUP(F2330,辅助信息!A:B,2,FALSE)</f>
        <v>螺纹钢</v>
      </c>
      <c r="F2330" s="40" t="s">
        <v>201</v>
      </c>
      <c r="G2330" s="36">
        <v>7</v>
      </c>
      <c r="H2330" s="134">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09" t="str">
        <f>VLOOKUP(B2330,辅助信息!E:J,6,FALSE)</f>
        <v>联系实际收货人（彭江涛13990276572）现场要求炉批号控制2个以下，超2个不给予签收。提前联系到场规格及数量</v>
      </c>
      <c r="M2330" s="91">
        <v>45860</v>
      </c>
      <c r="O2330" s="62">
        <f ca="1" t="shared" si="151"/>
        <v>0</v>
      </c>
      <c r="P2330" s="62">
        <f ca="1" t="shared" si="152"/>
        <v>100</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1" t="s">
        <v>100</v>
      </c>
      <c r="B2331" s="97" t="s">
        <v>147</v>
      </c>
      <c r="C2331" s="70">
        <v>45857</v>
      </c>
      <c r="D2331" s="40" t="str">
        <f>VLOOKUP(B2331,辅助信息!E:K,7,FALSE)</f>
        <v>JWDDCD2025052800131</v>
      </c>
      <c r="E2331" s="40" t="str">
        <f>VLOOKUP(F2331,辅助信息!A:B,2,FALSE)</f>
        <v>盘螺</v>
      </c>
      <c r="F2331" s="40" t="s">
        <v>40</v>
      </c>
      <c r="G2331" s="36">
        <v>15</v>
      </c>
      <c r="H2331" s="134">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09" t="str">
        <f>VLOOKUP(B2331,辅助信息!E:J,6,FALSE)</f>
        <v>控制炉批号！多了现场不收！,优先安排达钢,提前联系到场规格及数量</v>
      </c>
      <c r="M2331" s="91">
        <v>45860</v>
      </c>
      <c r="O2331" s="62">
        <f ca="1" t="shared" si="151"/>
        <v>0</v>
      </c>
      <c r="P2331" s="62">
        <f ca="1" t="shared" si="152"/>
        <v>100</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1"/>
      <c r="B2332" s="97" t="s">
        <v>147</v>
      </c>
      <c r="C2332" s="70">
        <v>45857</v>
      </c>
      <c r="D2332" s="40" t="str">
        <f>VLOOKUP(B2332,辅助信息!E:K,7,FALSE)</f>
        <v>JWDDCD2025052800131</v>
      </c>
      <c r="E2332" s="40" t="str">
        <f>VLOOKUP(F2332,辅助信息!A:B,2,FALSE)</f>
        <v>螺纹钢</v>
      </c>
      <c r="F2332" s="40" t="s">
        <v>30</v>
      </c>
      <c r="G2332" s="36">
        <v>30</v>
      </c>
      <c r="H2332" s="134">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09" t="str">
        <f>VLOOKUP(B2332,辅助信息!E:J,6,FALSE)</f>
        <v>控制炉批号！多了现场不收！,优先安排达钢,提前联系到场规格及数量</v>
      </c>
      <c r="M2332" s="91">
        <v>45860</v>
      </c>
      <c r="O2332" s="62">
        <f ca="1" t="shared" si="151"/>
        <v>0</v>
      </c>
      <c r="P2332" s="62">
        <f ca="1" t="shared" si="152"/>
        <v>100</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7" t="s">
        <v>147</v>
      </c>
      <c r="C2333" s="70">
        <v>45857</v>
      </c>
      <c r="D2333" s="40" t="str">
        <f>VLOOKUP(B2333,辅助信息!E:K,7,FALSE)</f>
        <v>JWDDCD2025052800131</v>
      </c>
      <c r="E2333" s="40" t="str">
        <f>VLOOKUP(F2333,辅助信息!A:B,2,FALSE)</f>
        <v>螺纹钢</v>
      </c>
      <c r="F2333" s="40" t="s">
        <v>21</v>
      </c>
      <c r="G2333" s="36">
        <v>12</v>
      </c>
      <c r="H2333" s="134">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09" t="str">
        <f>VLOOKUP(B2333,辅助信息!E:J,6,FALSE)</f>
        <v>控制炉批号！多了现场不收！,优先安排达钢,提前联系到场规格及数量</v>
      </c>
      <c r="M2333" s="91">
        <v>45860</v>
      </c>
      <c r="O2333" s="62">
        <f ca="1" t="shared" ref="O2333:O2396" si="153">IF(OR(M2333="",N2333&lt;&gt;""),"",MAX(M2333-TODAY(),0))</f>
        <v>0</v>
      </c>
      <c r="P2333" s="62">
        <f ca="1" t="shared" ref="P2333:P2396" si="154">IF(M2333="","",IF(N2333&lt;&gt;"",MAX(N2333-M2333,0),IF(TODAY()&gt;M2333,TODAY()-M2333,0)))</f>
        <v>100</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7" t="s">
        <v>147</v>
      </c>
      <c r="C2334" s="70">
        <v>45857</v>
      </c>
      <c r="D2334" s="40" t="str">
        <f>VLOOKUP(B2334,辅助信息!E:K,7,FALSE)</f>
        <v>JWDDCD2025052800131</v>
      </c>
      <c r="E2334" s="40" t="str">
        <f>VLOOKUP(F2334,辅助信息!A:B,2,FALSE)</f>
        <v>螺纹钢</v>
      </c>
      <c r="F2334" s="40" t="s">
        <v>58</v>
      </c>
      <c r="G2334" s="36">
        <v>9</v>
      </c>
      <c r="H2334" s="134">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09" t="str">
        <f>VLOOKUP(B2334,辅助信息!E:J,6,FALSE)</f>
        <v>控制炉批号！多了现场不收！,优先安排达钢,提前联系到场规格及数量</v>
      </c>
      <c r="M2334" s="91">
        <v>45860</v>
      </c>
      <c r="O2334" s="62">
        <f ca="1" t="shared" si="153"/>
        <v>0</v>
      </c>
      <c r="P2334" s="62">
        <f ca="1" t="shared" si="154"/>
        <v>100</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7" t="s">
        <v>147</v>
      </c>
      <c r="C2335" s="70">
        <v>45857</v>
      </c>
      <c r="D2335" s="40" t="str">
        <f>VLOOKUP(B2335,辅助信息!E:K,7,FALSE)</f>
        <v>JWDDCD2025052800131</v>
      </c>
      <c r="E2335" s="40" t="str">
        <f>VLOOKUP(F2335,辅助信息!A:B,2,FALSE)</f>
        <v>螺纹钢</v>
      </c>
      <c r="F2335" s="40" t="s">
        <v>46</v>
      </c>
      <c r="G2335" s="36">
        <v>9</v>
      </c>
      <c r="H2335" s="134">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09" t="str">
        <f>VLOOKUP(B2335,辅助信息!E:J,6,FALSE)</f>
        <v>控制炉批号！多了现场不收！,优先安排达钢,提前联系到场规格及数量</v>
      </c>
      <c r="M2335" s="91">
        <v>45860</v>
      </c>
      <c r="O2335" s="62">
        <f ca="1" t="shared" si="153"/>
        <v>0</v>
      </c>
      <c r="P2335" s="62">
        <f ca="1" t="shared" si="154"/>
        <v>100</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7" t="s">
        <v>147</v>
      </c>
      <c r="C2336" s="70">
        <v>45857</v>
      </c>
      <c r="D2336" s="40" t="str">
        <f>VLOOKUP(B2336,辅助信息!E:K,7,FALSE)</f>
        <v>JWDDCD2025052800131</v>
      </c>
      <c r="E2336" s="40" t="str">
        <f>VLOOKUP(F2336,辅助信息!A:B,2,FALSE)</f>
        <v>螺纹钢</v>
      </c>
      <c r="F2336" s="40" t="s">
        <v>22</v>
      </c>
      <c r="G2336" s="36">
        <v>12</v>
      </c>
      <c r="H2336" s="134">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09" t="str">
        <f>VLOOKUP(B2336,辅助信息!E:J,6,FALSE)</f>
        <v>控制炉批号！多了现场不收！,优先安排达钢,提前联系到场规格及数量</v>
      </c>
      <c r="M2336" s="91">
        <v>45860</v>
      </c>
      <c r="O2336" s="62">
        <f ca="1" t="shared" si="153"/>
        <v>0</v>
      </c>
      <c r="P2336" s="62">
        <f ca="1" t="shared" si="154"/>
        <v>100</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7" t="s">
        <v>167</v>
      </c>
      <c r="C2337" s="70">
        <v>45857</v>
      </c>
      <c r="D2337" s="40" t="str">
        <f>VLOOKUP(B2337,辅助信息!E:K,7,FALSE)</f>
        <v>JWDDCD2025102100473</v>
      </c>
      <c r="E2337" s="40" t="str">
        <f>VLOOKUP(F2337,辅助信息!A:B,2,FALSE)</f>
        <v>螺纹钢</v>
      </c>
      <c r="F2337" s="40" t="s">
        <v>30</v>
      </c>
      <c r="G2337" s="36">
        <f>205-70</f>
        <v>135</v>
      </c>
      <c r="H2337" s="134"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09"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1">
        <v>45860</v>
      </c>
      <c r="O2337" s="62">
        <f ca="1" t="shared" si="153"/>
        <v>0</v>
      </c>
      <c r="P2337" s="62">
        <f ca="1" t="shared" si="154"/>
        <v>100</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7" t="s">
        <v>167</v>
      </c>
      <c r="C2338" s="70">
        <v>45859</v>
      </c>
      <c r="D2338" s="40" t="str">
        <f>VLOOKUP(B2338,辅助信息!E:K,7,FALSE)</f>
        <v>JWDDCD2025102100473</v>
      </c>
      <c r="E2338" s="40" t="str">
        <f>VLOOKUP(F2338,辅助信息!A:B,2,FALSE)</f>
        <v>螺纹钢</v>
      </c>
      <c r="F2338" s="40" t="s">
        <v>30</v>
      </c>
      <c r="G2338" s="36">
        <f>205-70</f>
        <v>135</v>
      </c>
      <c r="H2338" s="134">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09"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1">
        <v>45860</v>
      </c>
      <c r="O2338" s="62">
        <f ca="1" t="shared" si="153"/>
        <v>0</v>
      </c>
      <c r="P2338" s="62">
        <f ca="1" t="shared" si="154"/>
        <v>100</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0">
        <v>45859</v>
      </c>
      <c r="D2339" s="40" t="str">
        <f>VLOOKUP(B2339,辅助信息!E:K,7,FALSE)</f>
        <v>JWDDCD2025051800046</v>
      </c>
      <c r="E2339" s="40" t="str">
        <f>VLOOKUP(F2339,辅助信息!A:B,2,FALSE)</f>
        <v>盘螺</v>
      </c>
      <c r="F2339" s="40" t="s">
        <v>40</v>
      </c>
      <c r="G2339" s="36">
        <v>5</v>
      </c>
      <c r="H2339" s="134">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09" t="str">
        <f>VLOOKUP(B2339,辅助信息!E:J,6,FALSE)</f>
        <v>优先威钢,我方卸车,新老国标钢厂不加价可直发</v>
      </c>
      <c r="M2339" s="91">
        <v>45860</v>
      </c>
      <c r="O2339" s="62">
        <f ca="1" t="shared" si="153"/>
        <v>0</v>
      </c>
      <c r="P2339" s="62">
        <f ca="1" t="shared" si="154"/>
        <v>100</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0">
        <v>45859</v>
      </c>
      <c r="D2340" s="40" t="str">
        <f>VLOOKUP(B2340,辅助信息!E:K,7,FALSE)</f>
        <v>JWDDCD2025051800046</v>
      </c>
      <c r="E2340" s="40" t="str">
        <f>VLOOKUP(F2340,辅助信息!A:B,2,FALSE)</f>
        <v>螺纹钢</v>
      </c>
      <c r="F2340" s="40" t="s">
        <v>27</v>
      </c>
      <c r="G2340" s="36">
        <v>5</v>
      </c>
      <c r="H2340" s="134">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09" t="str">
        <f>VLOOKUP(B2340,辅助信息!E:J,6,FALSE)</f>
        <v>优先威钢,我方卸车,新老国标钢厂不加价可直发</v>
      </c>
      <c r="M2340" s="91">
        <v>45860</v>
      </c>
      <c r="O2340" s="62">
        <f ca="1" t="shared" si="153"/>
        <v>0</v>
      </c>
      <c r="P2340" s="62">
        <f ca="1" t="shared" si="154"/>
        <v>100</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0">
        <v>45859</v>
      </c>
      <c r="D2341" s="40" t="str">
        <f>VLOOKUP(B2341,辅助信息!E:K,7,FALSE)</f>
        <v>JWDDCD2025051800046</v>
      </c>
      <c r="E2341" s="40" t="str">
        <f>VLOOKUP(F2341,辅助信息!A:B,2,FALSE)</f>
        <v>螺纹钢</v>
      </c>
      <c r="F2341" s="40" t="s">
        <v>33</v>
      </c>
      <c r="G2341" s="36">
        <v>5</v>
      </c>
      <c r="H2341" s="134">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09" t="str">
        <f>VLOOKUP(B2341,辅助信息!E:J,6,FALSE)</f>
        <v>优先威钢,我方卸车,新老国标钢厂不加价可直发</v>
      </c>
      <c r="M2341" s="91">
        <v>45860</v>
      </c>
      <c r="O2341" s="62">
        <f ca="1" t="shared" si="153"/>
        <v>0</v>
      </c>
      <c r="P2341" s="62">
        <f ca="1" t="shared" si="154"/>
        <v>100</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0">
        <v>45859</v>
      </c>
      <c r="D2342" s="40" t="str">
        <f>VLOOKUP(B2342,辅助信息!E:K,7,FALSE)</f>
        <v>JWDDCD2025051800046</v>
      </c>
      <c r="E2342" s="40" t="str">
        <f>VLOOKUP(F2342,辅助信息!A:B,2,FALSE)</f>
        <v>螺纹钢</v>
      </c>
      <c r="F2342" s="40" t="s">
        <v>22</v>
      </c>
      <c r="G2342" s="36">
        <v>20</v>
      </c>
      <c r="H2342" s="134">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09" t="str">
        <f>VLOOKUP(B2342,辅助信息!E:J,6,FALSE)</f>
        <v>优先威钢,我方卸车,新老国标钢厂不加价可直发</v>
      </c>
      <c r="M2342" s="91">
        <v>45860</v>
      </c>
      <c r="O2342" s="62">
        <f ca="1" t="shared" si="153"/>
        <v>0</v>
      </c>
      <c r="P2342" s="62">
        <f ca="1" t="shared" si="154"/>
        <v>100</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0">
        <v>45859</v>
      </c>
      <c r="D2343" s="40" t="str">
        <f>VLOOKUP(B2343,辅助信息!E:K,7,FALSE)</f>
        <v>JWDDCD2024101600133</v>
      </c>
      <c r="E2343" s="40" t="str">
        <f>VLOOKUP(F2343,辅助信息!A:B,2,FALSE)</f>
        <v>盘螺</v>
      </c>
      <c r="F2343" s="40" t="s">
        <v>40</v>
      </c>
      <c r="G2343" s="36">
        <v>10</v>
      </c>
      <c r="H2343" s="134">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09" t="str">
        <f>VLOOKUP(B2343,辅助信息!E:J,6,FALSE)</f>
        <v>提前联系到场规格</v>
      </c>
      <c r="M2343" s="91">
        <v>45860</v>
      </c>
      <c r="O2343" s="62">
        <f ca="1" t="shared" si="153"/>
        <v>0</v>
      </c>
      <c r="P2343" s="62">
        <f ca="1" t="shared" si="154"/>
        <v>100</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0">
        <v>45859</v>
      </c>
      <c r="D2344" s="40" t="str">
        <f>VLOOKUP(B2344,辅助信息!E:K,7,FALSE)</f>
        <v>JWDDCD2024101600133</v>
      </c>
      <c r="E2344" s="40" t="str">
        <f>VLOOKUP(F2344,辅助信息!A:B,2,FALSE)</f>
        <v>盘螺</v>
      </c>
      <c r="F2344" s="40" t="s">
        <v>41</v>
      </c>
      <c r="G2344" s="36">
        <v>25</v>
      </c>
      <c r="H2344" s="134">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09" t="str">
        <f>VLOOKUP(B2344,辅助信息!E:J,6,FALSE)</f>
        <v>提前联系到场规格</v>
      </c>
      <c r="M2344" s="91">
        <v>45860</v>
      </c>
      <c r="O2344" s="62">
        <f ca="1" t="shared" si="153"/>
        <v>0</v>
      </c>
      <c r="P2344" s="62">
        <f ca="1" t="shared" si="154"/>
        <v>100</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0">
        <v>45859</v>
      </c>
      <c r="D2345" s="40" t="str">
        <f>VLOOKUP(B2345,辅助信息!E:K,7,FALSE)</f>
        <v>JWDDCD2024101600133</v>
      </c>
      <c r="E2345" s="40" t="str">
        <f>VLOOKUP(F2345,辅助信息!A:B,2,FALSE)</f>
        <v>螺纹钢</v>
      </c>
      <c r="F2345" s="40" t="s">
        <v>27</v>
      </c>
      <c r="G2345" s="36">
        <v>9</v>
      </c>
      <c r="H2345" s="134">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09" t="str">
        <f>VLOOKUP(B2345,辅助信息!E:J,6,FALSE)</f>
        <v>提前联系到场规格</v>
      </c>
      <c r="M2345" s="91">
        <v>45860</v>
      </c>
      <c r="O2345" s="62">
        <f ca="1" t="shared" si="153"/>
        <v>0</v>
      </c>
      <c r="P2345" s="62">
        <f ca="1" t="shared" si="154"/>
        <v>100</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0">
        <v>45859</v>
      </c>
      <c r="D2346" s="40" t="str">
        <f>VLOOKUP(B2346,辅助信息!E:K,7,FALSE)</f>
        <v>JWDDCD2024101600133</v>
      </c>
      <c r="E2346" s="40" t="str">
        <f>VLOOKUP(F2346,辅助信息!A:B,2,FALSE)</f>
        <v>螺纹钢</v>
      </c>
      <c r="F2346" s="40" t="s">
        <v>19</v>
      </c>
      <c r="G2346" s="36">
        <v>9</v>
      </c>
      <c r="H2346" s="134">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09" t="str">
        <f>VLOOKUP(B2346,辅助信息!E:J,6,FALSE)</f>
        <v>提前联系到场规格</v>
      </c>
      <c r="M2346" s="91">
        <v>45860</v>
      </c>
      <c r="O2346" s="62">
        <f ca="1" t="shared" si="153"/>
        <v>0</v>
      </c>
      <c r="P2346" s="62">
        <f ca="1" t="shared" si="154"/>
        <v>100</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0">
        <v>45859</v>
      </c>
      <c r="D2347" s="40" t="str">
        <f>VLOOKUP(B2347,辅助信息!E:K,7,FALSE)</f>
        <v>JWDDCD2024101600133</v>
      </c>
      <c r="E2347" s="40" t="str">
        <f>VLOOKUP(F2347,辅助信息!A:B,2,FALSE)</f>
        <v>螺纹钢</v>
      </c>
      <c r="F2347" s="40" t="s">
        <v>32</v>
      </c>
      <c r="G2347" s="36">
        <v>9</v>
      </c>
      <c r="H2347" s="134">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09" t="str">
        <f>VLOOKUP(B2347,辅助信息!E:J,6,FALSE)</f>
        <v>提前联系到场规格</v>
      </c>
      <c r="M2347" s="91">
        <v>45860</v>
      </c>
      <c r="O2347" s="62">
        <f ca="1" t="shared" si="153"/>
        <v>0</v>
      </c>
      <c r="P2347" s="62">
        <f ca="1" t="shared" si="154"/>
        <v>100</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0">
        <v>45859</v>
      </c>
      <c r="D2348" s="40" t="str">
        <f>VLOOKUP(B2348,辅助信息!E:K,7,FALSE)</f>
        <v>JWDDCD2024101600133</v>
      </c>
      <c r="E2348" s="40" t="str">
        <f>VLOOKUP(F2348,辅助信息!A:B,2,FALSE)</f>
        <v>螺纹钢</v>
      </c>
      <c r="F2348" s="40" t="s">
        <v>33</v>
      </c>
      <c r="G2348" s="36">
        <v>9</v>
      </c>
      <c r="H2348" s="134">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09" t="str">
        <f>VLOOKUP(B2348,辅助信息!E:J,6,FALSE)</f>
        <v>提前联系到场规格</v>
      </c>
      <c r="M2348" s="91">
        <v>45860</v>
      </c>
      <c r="O2348" s="62">
        <f ca="1" t="shared" si="153"/>
        <v>0</v>
      </c>
      <c r="P2348" s="62">
        <f ca="1" t="shared" si="154"/>
        <v>100</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0">
        <v>45860</v>
      </c>
      <c r="D2349" s="40" t="str">
        <f>VLOOKUP(B2349,辅助信息!E:K,7,FALSE)</f>
        <v>JWDDCD2025102100473</v>
      </c>
      <c r="E2349" s="40" t="str">
        <f>VLOOKUP(F2349,辅助信息!A:B,2,FALSE)</f>
        <v>螺纹钢</v>
      </c>
      <c r="F2349" s="40" t="s">
        <v>30</v>
      </c>
      <c r="G2349" s="36">
        <v>70</v>
      </c>
      <c r="H2349" s="134">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09"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1">
        <v>45860</v>
      </c>
      <c r="O2349" s="62">
        <f ca="1" t="shared" si="153"/>
        <v>0</v>
      </c>
      <c r="P2349" s="62">
        <f ca="1" t="shared" si="154"/>
        <v>100</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0">
        <v>45860</v>
      </c>
      <c r="D2350" s="40" t="str">
        <f>VLOOKUP(B2350,辅助信息!E:K,7,FALSE)</f>
        <v>JWDDCD2025102100473</v>
      </c>
      <c r="E2350" s="40" t="str">
        <f>VLOOKUP(F2350,辅助信息!A:B,2,FALSE)</f>
        <v>盘螺</v>
      </c>
      <c r="F2350" s="40" t="s">
        <v>40</v>
      </c>
      <c r="G2350" s="36">
        <v>14</v>
      </c>
      <c r="H2350" s="134">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09"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1">
        <v>45861</v>
      </c>
      <c r="O2350" s="62">
        <f ca="1" t="shared" si="153"/>
        <v>0</v>
      </c>
      <c r="P2350" s="62">
        <f ca="1" t="shared" si="154"/>
        <v>99</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0">
        <v>45860</v>
      </c>
      <c r="D2351" s="40" t="str">
        <f>VLOOKUP(B2351,辅助信息!E:K,7,FALSE)</f>
        <v>JWDDCD2025102100473</v>
      </c>
      <c r="E2351" s="40" t="str">
        <f>VLOOKUP(F2351,辅助信息!A:B,2,FALSE)</f>
        <v>盘螺</v>
      </c>
      <c r="F2351" s="40" t="s">
        <v>41</v>
      </c>
      <c r="G2351" s="36">
        <v>21</v>
      </c>
      <c r="H2351" s="134">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09"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1">
        <v>45861</v>
      </c>
      <c r="O2351" s="62">
        <f ca="1" t="shared" si="153"/>
        <v>0</v>
      </c>
      <c r="P2351" s="62">
        <f ca="1" t="shared" si="154"/>
        <v>99</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0">
        <v>45860</v>
      </c>
      <c r="D2352" s="40" t="str">
        <f>VLOOKUP(B2352,辅助信息!E:K,7,FALSE)</f>
        <v>JWDDCD2025052800131</v>
      </c>
      <c r="E2352" s="40" t="str">
        <f>VLOOKUP(F2352,辅助信息!A:B,2,FALSE)</f>
        <v>螺纹钢</v>
      </c>
      <c r="F2352" s="40" t="s">
        <v>45</v>
      </c>
      <c r="G2352" s="36">
        <v>6</v>
      </c>
      <c r="H2352" s="134">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09" t="str">
        <f>VLOOKUP(B2352,辅助信息!E:J,6,FALSE)</f>
        <v>控制炉批号！多了现场不收！,优先安排达钢,提前联系到场规格及数量</v>
      </c>
      <c r="M2352" s="91">
        <v>45861</v>
      </c>
      <c r="O2352" s="62">
        <f ca="1" t="shared" si="153"/>
        <v>0</v>
      </c>
      <c r="P2352" s="62">
        <f ca="1" t="shared" si="154"/>
        <v>99</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0">
        <v>45860</v>
      </c>
      <c r="D2353" s="40" t="str">
        <f>VLOOKUP(B2353,辅助信息!E:K,7,FALSE)</f>
        <v>JWDDCD2025052800131</v>
      </c>
      <c r="E2353" s="40" t="str">
        <f>VLOOKUP(F2353,辅助信息!A:B,2,FALSE)</f>
        <v>螺纹钢</v>
      </c>
      <c r="F2353" s="40" t="s">
        <v>21</v>
      </c>
      <c r="G2353" s="36">
        <v>20</v>
      </c>
      <c r="H2353" s="134">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09" t="str">
        <f>VLOOKUP(B2353,辅助信息!E:J,6,FALSE)</f>
        <v>控制炉批号！多了现场不收！,优先安排达钢,提前联系到场规格及数量</v>
      </c>
      <c r="M2353" s="91">
        <v>45861</v>
      </c>
      <c r="O2353" s="62">
        <f ca="1" t="shared" si="153"/>
        <v>0</v>
      </c>
      <c r="P2353" s="62">
        <f ca="1" t="shared" si="154"/>
        <v>99</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0">
        <v>45860</v>
      </c>
      <c r="D2354" s="40" t="str">
        <f>VLOOKUP(B2354,辅助信息!E:K,7,FALSE)</f>
        <v>JWDDCD2025052800131</v>
      </c>
      <c r="E2354" s="40" t="str">
        <f>VLOOKUP(F2354,辅助信息!A:B,2,FALSE)</f>
        <v>螺纹钢</v>
      </c>
      <c r="F2354" s="40" t="s">
        <v>58</v>
      </c>
      <c r="G2354" s="36">
        <v>10</v>
      </c>
      <c r="H2354" s="134">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09" t="str">
        <f>VLOOKUP(B2354,辅助信息!E:J,6,FALSE)</f>
        <v>控制炉批号！多了现场不收！,优先安排达钢,提前联系到场规格及数量</v>
      </c>
      <c r="M2354" s="91">
        <v>45861</v>
      </c>
      <c r="O2354" s="62">
        <f ca="1" t="shared" si="153"/>
        <v>0</v>
      </c>
      <c r="P2354" s="62">
        <f ca="1" t="shared" si="154"/>
        <v>99</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0">
        <v>45860</v>
      </c>
      <c r="D2355" s="40" t="str">
        <f>VLOOKUP(B2355,辅助信息!E:K,7,FALSE)</f>
        <v>JWDD2025071500089</v>
      </c>
      <c r="E2355" s="40" t="str">
        <f>VLOOKUP(F2355,辅助信息!A:B,2,FALSE)</f>
        <v>螺纹钢</v>
      </c>
      <c r="F2355" s="40" t="s">
        <v>32</v>
      </c>
      <c r="G2355" s="36">
        <v>10</v>
      </c>
      <c r="H2355" s="134"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09" t="str">
        <f>VLOOKUP(B2355,辅助信息!E:J,6,FALSE)</f>
        <v>现场要求调度统一联系指定收货人，不单独发司机位置。锈货不收，装货前联系收货人核实到场规格,没提前告知进场规格现场不给予接收</v>
      </c>
      <c r="M2355" s="91">
        <v>45861</v>
      </c>
      <c r="O2355" s="62">
        <f ca="1" t="shared" si="153"/>
        <v>0</v>
      </c>
      <c r="P2355" s="62">
        <f ca="1" t="shared" si="154"/>
        <v>99</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0">
        <v>45860</v>
      </c>
      <c r="D2356" s="40" t="str">
        <f>VLOOKUP(B2356,辅助信息!E:K,7,FALSE)</f>
        <v>JWDD2025071500089</v>
      </c>
      <c r="E2356" s="40" t="str">
        <f>VLOOKUP(F2356,辅助信息!A:B,2,FALSE)</f>
        <v>螺纹钢</v>
      </c>
      <c r="F2356" s="40" t="s">
        <v>30</v>
      </c>
      <c r="G2356" s="36">
        <v>25</v>
      </c>
      <c r="H2356" s="134"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09" t="str">
        <f>VLOOKUP(B2356,辅助信息!E:J,6,FALSE)</f>
        <v>现场要求调度统一联系指定收货人，不单独发司机位置。锈货不收，装货前联系收货人核实到场规格,没提前告知进场规格现场不给予接收</v>
      </c>
      <c r="M2356" s="91">
        <v>45861</v>
      </c>
      <c r="O2356" s="62">
        <f ca="1" t="shared" si="153"/>
        <v>0</v>
      </c>
      <c r="P2356" s="62">
        <f ca="1" t="shared" si="154"/>
        <v>99</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0">
        <v>45860</v>
      </c>
      <c r="D2357" s="40" t="str">
        <f>VLOOKUP(B2357,辅助信息!E:K,7,FALSE)</f>
        <v>JWDD2025071500089</v>
      </c>
      <c r="E2357" s="40" t="str">
        <f>VLOOKUP(F2357,辅助信息!A:B,2,FALSE)</f>
        <v>螺纹钢</v>
      </c>
      <c r="F2357" s="40" t="s">
        <v>18</v>
      </c>
      <c r="G2357" s="36">
        <v>15</v>
      </c>
      <c r="H2357" s="134"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09" t="str">
        <f>VLOOKUP(B2357,辅助信息!E:J,6,FALSE)</f>
        <v>现场要求调度统一联系指定收货人，不单独发司机位置。锈货不收，装货前联系收货人核实到场规格,没提前告知进场规格现场不给予接收</v>
      </c>
      <c r="M2357" s="91">
        <v>45861</v>
      </c>
      <c r="O2357" s="62">
        <f ca="1" t="shared" si="153"/>
        <v>0</v>
      </c>
      <c r="P2357" s="62">
        <f ca="1" t="shared" si="154"/>
        <v>99</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0">
        <v>45860</v>
      </c>
      <c r="D2358" s="40" t="str">
        <f>VLOOKUP(B2358,辅助信息!E:K,7,FALSE)</f>
        <v>JWDD2025071500089</v>
      </c>
      <c r="E2358" s="40" t="str">
        <f>VLOOKUP(F2358,辅助信息!A:B,2,FALSE)</f>
        <v>盘螺</v>
      </c>
      <c r="F2358" s="40" t="s">
        <v>26</v>
      </c>
      <c r="G2358" s="36">
        <v>20</v>
      </c>
      <c r="H2358" s="134"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09" t="str">
        <f>VLOOKUP(B2358,辅助信息!E:J,6,FALSE)</f>
        <v>现场要求调度统一联系指定收货人，不单独发司机位置。锈货不收，装货前联系收货人核实到场规格,没提前告知进场规格现场不给予接收</v>
      </c>
      <c r="M2358" s="91">
        <v>45861</v>
      </c>
      <c r="O2358" s="62">
        <f ca="1" t="shared" si="153"/>
        <v>0</v>
      </c>
      <c r="P2358" s="62">
        <f ca="1" t="shared" si="154"/>
        <v>99</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0">
        <v>45861</v>
      </c>
      <c r="D2359" s="40" t="str">
        <f>VLOOKUP(B2359,辅助信息!E:K,7,FALSE)</f>
        <v>JWDD2025071500089</v>
      </c>
      <c r="E2359" s="40" t="str">
        <f>VLOOKUP(F2359,辅助信息!A:B,2,FALSE)</f>
        <v>盘螺</v>
      </c>
      <c r="F2359" s="40" t="s">
        <v>49</v>
      </c>
      <c r="G2359" s="36">
        <v>5</v>
      </c>
      <c r="H2359" s="134"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09" t="str">
        <f>VLOOKUP(B2359,辅助信息!E:J,6,FALSE)</f>
        <v>现场要求调度统一联系指定收货人，不单独发司机位置。锈货不收，装货前联系收货人核实到场规格,没提前告知进场规格现场不给予接收</v>
      </c>
      <c r="M2359" s="91">
        <v>45863</v>
      </c>
      <c r="O2359" s="62">
        <f ca="1" t="shared" si="153"/>
        <v>0</v>
      </c>
      <c r="P2359" s="62">
        <f ca="1" t="shared" si="154"/>
        <v>97</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0">
        <v>45861</v>
      </c>
      <c r="D2360" s="40" t="str">
        <f>VLOOKUP(B2360,辅助信息!E:K,7,FALSE)</f>
        <v>JWDD2025071500089</v>
      </c>
      <c r="E2360" s="40" t="str">
        <f>VLOOKUP(F2360,辅助信息!A:B,2,FALSE)</f>
        <v>盘螺</v>
      </c>
      <c r="F2360" s="40" t="s">
        <v>40</v>
      </c>
      <c r="G2360" s="36">
        <v>10</v>
      </c>
      <c r="H2360" s="134"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09" t="str">
        <f>VLOOKUP(B2360,辅助信息!E:J,6,FALSE)</f>
        <v>现场要求调度统一联系指定收货人，不单独发司机位置。锈货不收，装货前联系收货人核实到场规格,没提前告知进场规格现场不给予接收</v>
      </c>
      <c r="M2360" s="91">
        <v>45863</v>
      </c>
      <c r="O2360" s="62">
        <f ca="1" t="shared" si="153"/>
        <v>0</v>
      </c>
      <c r="P2360" s="62">
        <f ca="1" t="shared" si="154"/>
        <v>97</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0">
        <v>45861</v>
      </c>
      <c r="D2361" s="40" t="str">
        <f>VLOOKUP(B2361,辅助信息!E:K,7,FALSE)</f>
        <v>JWDD2025071500089</v>
      </c>
      <c r="E2361" s="40" t="str">
        <f>VLOOKUP(F2361,辅助信息!A:B,2,FALSE)</f>
        <v>盘螺</v>
      </c>
      <c r="F2361" s="40" t="s">
        <v>41</v>
      </c>
      <c r="G2361" s="36">
        <v>20</v>
      </c>
      <c r="H2361" s="134"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09" t="str">
        <f>VLOOKUP(B2361,辅助信息!E:J,6,FALSE)</f>
        <v>现场要求调度统一联系指定收货人，不单独发司机位置。锈货不收，装货前联系收货人核实到场规格,没提前告知进场规格现场不给予接收</v>
      </c>
      <c r="M2361" s="91">
        <v>45863</v>
      </c>
      <c r="O2361" s="62">
        <f ca="1" t="shared" si="153"/>
        <v>0</v>
      </c>
      <c r="P2361" s="62">
        <f ca="1" t="shared" si="154"/>
        <v>97</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0">
        <v>45861</v>
      </c>
      <c r="D2362" s="40" t="str">
        <f>VLOOKUP(B2362,辅助信息!E:K,7,FALSE)</f>
        <v>JWDD2025071500089</v>
      </c>
      <c r="E2362" s="40" t="str">
        <f>VLOOKUP(F2362,辅助信息!A:B,2,FALSE)</f>
        <v>螺纹钢</v>
      </c>
      <c r="F2362" s="40" t="s">
        <v>27</v>
      </c>
      <c r="G2362" s="36">
        <v>20</v>
      </c>
      <c r="H2362" s="134"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09" t="str">
        <f>VLOOKUP(B2362,辅助信息!E:J,6,FALSE)</f>
        <v>现场要求调度统一联系指定收货人，不单独发司机位置。锈货不收，装货前联系收货人核实到场规格,没提前告知进场规格现场不给予接收</v>
      </c>
      <c r="M2362" s="91">
        <v>45863</v>
      </c>
      <c r="O2362" s="62">
        <f ca="1" t="shared" si="153"/>
        <v>0</v>
      </c>
      <c r="P2362" s="62">
        <f ca="1" t="shared" si="154"/>
        <v>97</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0">
        <v>45861</v>
      </c>
      <c r="D2363" s="40" t="str">
        <f>VLOOKUP(B2363,辅助信息!E:K,7,FALSE)</f>
        <v>JWDD2025071500089</v>
      </c>
      <c r="E2363" s="40" t="str">
        <f>VLOOKUP(F2363,辅助信息!A:B,2,FALSE)</f>
        <v>螺纹钢</v>
      </c>
      <c r="F2363" s="40" t="s">
        <v>19</v>
      </c>
      <c r="G2363" s="36">
        <v>35</v>
      </c>
      <c r="H2363" s="134"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09" t="str">
        <f>VLOOKUP(B2363,辅助信息!E:J,6,FALSE)</f>
        <v>现场要求调度统一联系指定收货人，不单独发司机位置。锈货不收，装货前联系收货人核实到场规格,没提前告知进场规格现场不给予接收</v>
      </c>
      <c r="M2363" s="91">
        <v>45863</v>
      </c>
      <c r="O2363" s="62">
        <f ca="1" t="shared" si="153"/>
        <v>0</v>
      </c>
      <c r="P2363" s="62">
        <f ca="1" t="shared" si="154"/>
        <v>97</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0">
        <v>45861</v>
      </c>
      <c r="D2364" s="40" t="str">
        <f>VLOOKUP(B2364,辅助信息!E:K,7,FALSE)</f>
        <v>JWDD2025071500089</v>
      </c>
      <c r="E2364" s="40" t="str">
        <f>VLOOKUP(F2364,辅助信息!A:B,2,FALSE)</f>
        <v>螺纹钢</v>
      </c>
      <c r="F2364" s="40" t="s">
        <v>32</v>
      </c>
      <c r="G2364" s="36">
        <v>25</v>
      </c>
      <c r="H2364" s="134"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09" t="str">
        <f>VLOOKUP(B2364,辅助信息!E:J,6,FALSE)</f>
        <v>现场要求调度统一联系指定收货人，不单独发司机位置。锈货不收，装货前联系收货人核实到场规格,没提前告知进场规格现场不给予接收</v>
      </c>
      <c r="M2364" s="91">
        <v>45863</v>
      </c>
      <c r="O2364" s="62">
        <f ca="1" t="shared" si="153"/>
        <v>0</v>
      </c>
      <c r="P2364" s="62">
        <f ca="1" t="shared" si="154"/>
        <v>97</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0">
        <v>45861</v>
      </c>
      <c r="D2365" s="40" t="str">
        <f>VLOOKUP(B2365,辅助信息!E:K,7,FALSE)</f>
        <v>JWDD2025071500089</v>
      </c>
      <c r="E2365" s="40" t="str">
        <f>VLOOKUP(F2365,辅助信息!A:B,2,FALSE)</f>
        <v>螺纹钢</v>
      </c>
      <c r="F2365" s="40" t="s">
        <v>30</v>
      </c>
      <c r="G2365" s="36">
        <v>35</v>
      </c>
      <c r="H2365" s="134"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09" t="str">
        <f>VLOOKUP(B2365,辅助信息!E:J,6,FALSE)</f>
        <v>现场要求调度统一联系指定收货人，不单独发司机位置。锈货不收，装货前联系收货人核实到场规格,没提前告知进场规格现场不给予接收</v>
      </c>
      <c r="M2365" s="91">
        <v>45863</v>
      </c>
      <c r="O2365" s="62">
        <f ca="1" t="shared" si="153"/>
        <v>0</v>
      </c>
      <c r="P2365" s="62">
        <f ca="1" t="shared" si="154"/>
        <v>97</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0">
        <v>45861</v>
      </c>
      <c r="D2366" s="40" t="str">
        <f>VLOOKUP(B2366,辅助信息!E:K,7,FALSE)</f>
        <v>JWDD2025071500089</v>
      </c>
      <c r="E2366" s="40" t="str">
        <f>VLOOKUP(F2366,辅助信息!A:B,2,FALSE)</f>
        <v>螺纹钢</v>
      </c>
      <c r="F2366" s="40" t="s">
        <v>33</v>
      </c>
      <c r="G2366" s="36">
        <v>10</v>
      </c>
      <c r="H2366" s="134"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09" t="str">
        <f>VLOOKUP(B2366,辅助信息!E:J,6,FALSE)</f>
        <v>现场要求调度统一联系指定收货人，不单独发司机位置。锈货不收，装货前联系收货人核实到场规格,没提前告知进场规格现场不给予接收</v>
      </c>
      <c r="M2366" s="91">
        <v>45863</v>
      </c>
      <c r="O2366" s="62">
        <f ca="1" t="shared" si="153"/>
        <v>0</v>
      </c>
      <c r="P2366" s="62">
        <f ca="1" t="shared" si="154"/>
        <v>97</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0">
        <v>45861</v>
      </c>
      <c r="D2367" s="40" t="str">
        <f>VLOOKUP(B2367,辅助信息!E:K,7,FALSE)</f>
        <v>JWDD2025071500089</v>
      </c>
      <c r="E2367" s="40" t="str">
        <f>VLOOKUP(F2367,辅助信息!A:B,2,FALSE)</f>
        <v>螺纹钢</v>
      </c>
      <c r="F2367" s="40" t="s">
        <v>28</v>
      </c>
      <c r="G2367" s="36">
        <v>15</v>
      </c>
      <c r="H2367" s="134"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09" t="str">
        <f>VLOOKUP(B2367,辅助信息!E:J,6,FALSE)</f>
        <v>现场要求调度统一联系指定收货人，不单独发司机位置。锈货不收，装货前联系收货人核实到场规格,没提前告知进场规格现场不给予接收</v>
      </c>
      <c r="M2367" s="91">
        <v>45863</v>
      </c>
      <c r="O2367" s="62">
        <f ca="1" t="shared" si="153"/>
        <v>0</v>
      </c>
      <c r="P2367" s="62">
        <f ca="1" t="shared" si="154"/>
        <v>97</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0">
        <v>45861</v>
      </c>
      <c r="D2368" s="40" t="str">
        <f>VLOOKUP(B2368,辅助信息!E:K,7,FALSE)</f>
        <v>JWDD2025071500089</v>
      </c>
      <c r="E2368" s="40" t="str">
        <f>VLOOKUP(F2368,辅助信息!A:B,2,FALSE)</f>
        <v>螺纹钢</v>
      </c>
      <c r="F2368" s="40" t="s">
        <v>18</v>
      </c>
      <c r="G2368" s="36">
        <v>35</v>
      </c>
      <c r="H2368" s="134"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09" t="str">
        <f>VLOOKUP(B2368,辅助信息!E:J,6,FALSE)</f>
        <v>现场要求调度统一联系指定收货人，不单独发司机位置。锈货不收，装货前联系收货人核实到场规格,没提前告知进场规格现场不给予接收</v>
      </c>
      <c r="M2368" s="91">
        <v>45863</v>
      </c>
      <c r="O2368" s="62">
        <f ca="1" t="shared" si="153"/>
        <v>0</v>
      </c>
      <c r="P2368" s="62">
        <f ca="1" t="shared" si="154"/>
        <v>97</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0">
        <v>45861</v>
      </c>
      <c r="D2369" s="40" t="str">
        <f>VLOOKUP(B2369,辅助信息!E:K,7,FALSE)</f>
        <v>JWDDCD2024121000136</v>
      </c>
      <c r="E2369" s="40" t="str">
        <f>VLOOKUP(F2369,辅助信息!A:B,2,FALSE)</f>
        <v>螺纹钢</v>
      </c>
      <c r="F2369" s="40" t="s">
        <v>46</v>
      </c>
      <c r="G2369" s="36">
        <v>3</v>
      </c>
      <c r="H2369" s="134">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09" t="str">
        <f>VLOOKUP(B2369,辅助信息!E:J,6,FALSE)</f>
        <v>提前联系到场规格及数量</v>
      </c>
      <c r="M2369" s="91">
        <v>45863</v>
      </c>
      <c r="O2369" s="62">
        <f ca="1" t="shared" si="153"/>
        <v>0</v>
      </c>
      <c r="P2369" s="62">
        <f ca="1" t="shared" si="154"/>
        <v>97</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0">
        <v>45861</v>
      </c>
      <c r="D2370" s="40" t="str">
        <f>VLOOKUP(B2370,辅助信息!E:K,7,FALSE)</f>
        <v>JWDDCD2024121000136</v>
      </c>
      <c r="E2370" s="40" t="str">
        <f>VLOOKUP(F2370,辅助信息!A:B,2,FALSE)</f>
        <v>螺纹钢</v>
      </c>
      <c r="F2370" s="40" t="s">
        <v>22</v>
      </c>
      <c r="G2370" s="36">
        <v>32</v>
      </c>
      <c r="H2370" s="134">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09" t="str">
        <f>VLOOKUP(B2370,辅助信息!E:J,6,FALSE)</f>
        <v>提前联系到场规格及数量</v>
      </c>
      <c r="M2370" s="91">
        <v>45863</v>
      </c>
      <c r="O2370" s="62">
        <f ca="1" t="shared" si="153"/>
        <v>0</v>
      </c>
      <c r="P2370" s="62">
        <f ca="1" t="shared" si="154"/>
        <v>97</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0">
        <v>45861</v>
      </c>
      <c r="D2371" s="40" t="str">
        <f>VLOOKUP(B2371,辅助信息!E:K,7,FALSE)</f>
        <v>JWDDCD2025072900123</v>
      </c>
      <c r="E2371" s="40" t="str">
        <f>VLOOKUP(F2371,辅助信息!A:B,2,FALSE)</f>
        <v>高线</v>
      </c>
      <c r="F2371" s="40" t="s">
        <v>53</v>
      </c>
      <c r="G2371" s="36">
        <v>5</v>
      </c>
      <c r="H2371" s="134"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09" t="str">
        <f>VLOOKUP(B2371,辅助信息!E:J,6,FALSE)</f>
        <v>联系实际收货人（彭江涛13990276572）现场要求炉批号控制2个以下，超2个不给予签收。提前联系到场规格及数量</v>
      </c>
      <c r="M2371" s="91">
        <v>45863</v>
      </c>
      <c r="O2371" s="62">
        <f ca="1" t="shared" si="153"/>
        <v>0</v>
      </c>
      <c r="P2371" s="62">
        <f ca="1" t="shared" si="154"/>
        <v>97</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0">
        <v>45861</v>
      </c>
      <c r="D2372" s="40" t="str">
        <f>VLOOKUP(B2372,辅助信息!E:K,7,FALSE)</f>
        <v>JWDDCD2025072900123</v>
      </c>
      <c r="E2372" s="40" t="str">
        <f>VLOOKUP(F2372,辅助信息!A:B,2,FALSE)</f>
        <v>螺纹钢</v>
      </c>
      <c r="F2372" s="40" t="s">
        <v>32</v>
      </c>
      <c r="G2372" s="36">
        <v>3</v>
      </c>
      <c r="H2372" s="134"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09" t="str">
        <f>VLOOKUP(B2372,辅助信息!E:J,6,FALSE)</f>
        <v>联系实际收货人（彭江涛13990276572）现场要求炉批号控制2个以下，超2个不给予签收。提前联系到场规格及数量</v>
      </c>
      <c r="M2372" s="91">
        <v>45863</v>
      </c>
      <c r="O2372" s="62">
        <f ca="1" t="shared" si="153"/>
        <v>0</v>
      </c>
      <c r="P2372" s="62">
        <f ca="1" t="shared" si="154"/>
        <v>97</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0">
        <v>45861</v>
      </c>
      <c r="D2373" s="40" t="str">
        <f>VLOOKUP(B2373,辅助信息!E:K,7,FALSE)</f>
        <v>JWDDCD2025072900123</v>
      </c>
      <c r="E2373" s="40" t="str">
        <f>VLOOKUP(F2373,辅助信息!A:B,2,FALSE)</f>
        <v>螺纹钢</v>
      </c>
      <c r="F2373" s="40" t="s">
        <v>30</v>
      </c>
      <c r="G2373" s="36">
        <v>27</v>
      </c>
      <c r="H2373" s="134"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09" t="str">
        <f>VLOOKUP(B2373,辅助信息!E:J,6,FALSE)</f>
        <v>联系实际收货人（彭江涛13990276572）现场要求炉批号控制2个以下，超2个不给予签收。提前联系到场规格及数量</v>
      </c>
      <c r="M2373" s="91">
        <v>45863</v>
      </c>
      <c r="O2373" s="62">
        <f ca="1" t="shared" si="153"/>
        <v>0</v>
      </c>
      <c r="P2373" s="62">
        <f ca="1" t="shared" si="154"/>
        <v>97</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0">
        <v>45861</v>
      </c>
      <c r="D2374" s="40" t="str">
        <f>VLOOKUP(B2374,辅助信息!E:K,7,FALSE)</f>
        <v>JWDDCD2025072900123</v>
      </c>
      <c r="E2374" s="40" t="str">
        <f>VLOOKUP(F2374,辅助信息!A:B,2,FALSE)</f>
        <v>高线</v>
      </c>
      <c r="F2374" s="40" t="s">
        <v>53</v>
      </c>
      <c r="G2374" s="36">
        <v>2.5</v>
      </c>
      <c r="H2374" s="134"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09" t="str">
        <f>VLOOKUP(B2374,辅助信息!E:J,6,FALSE)</f>
        <v>联系实际收货人（彭江涛13990276572）现场要求炉批号控制2个以下，超2个不给予签收。提前联系到场规格及数量</v>
      </c>
      <c r="M2374" s="91">
        <v>45863</v>
      </c>
      <c r="O2374" s="62">
        <f ca="1" t="shared" si="153"/>
        <v>0</v>
      </c>
      <c r="P2374" s="62">
        <f ca="1" t="shared" si="154"/>
        <v>97</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0">
        <v>45861</v>
      </c>
      <c r="D2375" s="40" t="str">
        <f>VLOOKUP(B2375,辅助信息!E:K,7,FALSE)</f>
        <v>JWDDCD2025072900123</v>
      </c>
      <c r="E2375" s="40" t="str">
        <f>VLOOKUP(F2375,辅助信息!A:B,2,FALSE)</f>
        <v>盘螺</v>
      </c>
      <c r="F2375" s="40" t="s">
        <v>41</v>
      </c>
      <c r="G2375" s="36">
        <v>2.5</v>
      </c>
      <c r="H2375" s="134"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09" t="str">
        <f>VLOOKUP(B2375,辅助信息!E:J,6,FALSE)</f>
        <v>联系实际收货人（彭江涛13990276572）现场要求炉批号控制2个以下，超2个不给予签收。提前联系到场规格及数量</v>
      </c>
      <c r="M2375" s="91">
        <v>45863</v>
      </c>
      <c r="O2375" s="62">
        <f ca="1" t="shared" si="153"/>
        <v>0</v>
      </c>
      <c r="P2375" s="62">
        <f ca="1" t="shared" si="154"/>
        <v>97</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0">
        <v>45861</v>
      </c>
      <c r="D2376" s="40" t="str">
        <f>VLOOKUP(B2376,辅助信息!E:K,7,FALSE)</f>
        <v>JWDDCD2025072900123</v>
      </c>
      <c r="E2376" s="40" t="str">
        <f>VLOOKUP(F2376,辅助信息!A:B,2,FALSE)</f>
        <v>盘螺</v>
      </c>
      <c r="F2376" s="40" t="s">
        <v>26</v>
      </c>
      <c r="G2376" s="36">
        <v>10</v>
      </c>
      <c r="H2376" s="134"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09" t="str">
        <f>VLOOKUP(B2376,辅助信息!E:J,6,FALSE)</f>
        <v>联系实际收货人（彭江涛13990276572）现场要求炉批号控制2个以下，超2个不给予签收。提前联系到场规格及数量</v>
      </c>
      <c r="M2376" s="91">
        <v>45863</v>
      </c>
      <c r="O2376" s="62">
        <f ca="1" t="shared" si="153"/>
        <v>0</v>
      </c>
      <c r="P2376" s="62">
        <f ca="1" t="shared" si="154"/>
        <v>97</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0">
        <v>45861</v>
      </c>
      <c r="D2377" s="40" t="str">
        <f>VLOOKUP(B2377,辅助信息!E:K,7,FALSE)</f>
        <v>JWDDCD2025072900123</v>
      </c>
      <c r="E2377" s="40" t="str">
        <f>VLOOKUP(F2377,辅助信息!A:B,2,FALSE)</f>
        <v>螺纹钢</v>
      </c>
      <c r="F2377" s="40" t="s">
        <v>76</v>
      </c>
      <c r="G2377" s="36">
        <v>3</v>
      </c>
      <c r="H2377" s="134"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09" t="str">
        <f>VLOOKUP(B2377,辅助信息!E:J,6,FALSE)</f>
        <v>联系实际收货人（彭江涛13990276572）现场要求炉批号控制2个以下，超2个不给予签收。提前联系到场规格及数量</v>
      </c>
      <c r="M2377" s="91">
        <v>45863</v>
      </c>
      <c r="O2377" s="62">
        <f ca="1" t="shared" si="153"/>
        <v>0</v>
      </c>
      <c r="P2377" s="62">
        <f ca="1" t="shared" si="154"/>
        <v>97</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0">
        <v>45861</v>
      </c>
      <c r="D2378" s="40" t="str">
        <f>VLOOKUP(B2378,辅助信息!E:K,7,FALSE)</f>
        <v>JWDDCD2025072900123</v>
      </c>
      <c r="E2378" s="40" t="str">
        <f>VLOOKUP(F2378,辅助信息!A:B,2,FALSE)</f>
        <v>螺纹钢</v>
      </c>
      <c r="F2378" s="40" t="s">
        <v>90</v>
      </c>
      <c r="G2378" s="36">
        <v>3</v>
      </c>
      <c r="H2378" s="134"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09" t="str">
        <f>VLOOKUP(B2378,辅助信息!E:J,6,FALSE)</f>
        <v>联系实际收货人（彭江涛13990276572）现场要求炉批号控制2个以下，超2个不给予签收。提前联系到场规格及数量</v>
      </c>
      <c r="M2378" s="91">
        <v>45863</v>
      </c>
      <c r="O2378" s="62">
        <f ca="1" t="shared" si="153"/>
        <v>0</v>
      </c>
      <c r="P2378" s="62">
        <f ca="1" t="shared" si="154"/>
        <v>97</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0">
        <v>45861</v>
      </c>
      <c r="D2379" s="40" t="str">
        <f>VLOOKUP(B2379,辅助信息!E:K,7,FALSE)</f>
        <v>JWDDCD2025072900123</v>
      </c>
      <c r="E2379" s="40" t="str">
        <f>VLOOKUP(F2379,辅助信息!A:B,2,FALSE)</f>
        <v>螺纹钢</v>
      </c>
      <c r="F2379" s="40" t="s">
        <v>130</v>
      </c>
      <c r="G2379" s="36">
        <v>11</v>
      </c>
      <c r="H2379" s="134"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09" t="str">
        <f>VLOOKUP(B2379,辅助信息!E:J,6,FALSE)</f>
        <v>联系实际收货人（彭江涛13990276572）现场要求炉批号控制2个以下，超2个不给予签收。提前联系到场规格及数量</v>
      </c>
      <c r="M2379" s="91">
        <v>45863</v>
      </c>
      <c r="O2379" s="62">
        <f ca="1" t="shared" si="153"/>
        <v>0</v>
      </c>
      <c r="P2379" s="62">
        <f ca="1" t="shared" si="154"/>
        <v>97</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0">
        <v>45861</v>
      </c>
      <c r="D2380" s="40" t="str">
        <f>VLOOKUP(B2380,辅助信息!E:K,7,FALSE)</f>
        <v>JWDDCD2025072900123</v>
      </c>
      <c r="E2380" s="40" t="str">
        <f>VLOOKUP(F2380,辅助信息!A:B,2,FALSE)</f>
        <v>螺纹钢</v>
      </c>
      <c r="F2380" s="40" t="s">
        <v>133</v>
      </c>
      <c r="G2380" s="36">
        <v>66</v>
      </c>
      <c r="H2380" s="134"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09" t="str">
        <f>VLOOKUP(B2380,辅助信息!E:J,6,FALSE)</f>
        <v>联系实际收货人（彭江涛13990276572）现场要求炉批号控制2个以下，超2个不给予签收。提前联系到场规格及数量</v>
      </c>
      <c r="M2380" s="91">
        <v>45863</v>
      </c>
      <c r="O2380" s="62">
        <f ca="1" t="shared" si="153"/>
        <v>0</v>
      </c>
      <c r="P2380" s="62">
        <f ca="1" t="shared" si="154"/>
        <v>97</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0">
        <v>45861</v>
      </c>
      <c r="D2381" s="40" t="str">
        <f>VLOOKUP(B2381,辅助信息!E:K,7,FALSE)</f>
        <v>JWDDCD2025072900123</v>
      </c>
      <c r="E2381" s="40" t="str">
        <f>VLOOKUP(F2381,辅助信息!A:B,2,FALSE)</f>
        <v>螺纹钢</v>
      </c>
      <c r="F2381" s="40" t="s">
        <v>91</v>
      </c>
      <c r="G2381" s="36">
        <v>78</v>
      </c>
      <c r="H2381" s="134"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09" t="str">
        <f>VLOOKUP(B2381,辅助信息!E:J,6,FALSE)</f>
        <v>联系实际收货人（彭江涛13990276572）现场要求炉批号控制2个以下，超2个不给予签收。提前联系到场规格及数量</v>
      </c>
      <c r="M2381" s="91">
        <v>45863</v>
      </c>
      <c r="O2381" s="62">
        <f ca="1" t="shared" si="153"/>
        <v>0</v>
      </c>
      <c r="P2381" s="62">
        <f ca="1" t="shared" si="154"/>
        <v>97</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0">
        <v>45861</v>
      </c>
      <c r="D2382" s="40" t="str">
        <f>VLOOKUP(B2382,辅助信息!E:K,7,FALSE)</f>
        <v>JWDDCD2025072900123</v>
      </c>
      <c r="E2382" s="40" t="str">
        <f>VLOOKUP(F2382,辅助信息!A:B,2,FALSE)</f>
        <v>螺纹钢</v>
      </c>
      <c r="F2382" s="40" t="s">
        <v>77</v>
      </c>
      <c r="G2382" s="36">
        <v>22</v>
      </c>
      <c r="H2382" s="134"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09" t="str">
        <f>VLOOKUP(B2382,辅助信息!E:J,6,FALSE)</f>
        <v>联系实际收货人（彭江涛13990276572）现场要求炉批号控制2个以下，超2个不给予签收。提前联系到场规格及数量</v>
      </c>
      <c r="M2382" s="91">
        <v>45863</v>
      </c>
      <c r="O2382" s="62">
        <f ca="1" t="shared" si="153"/>
        <v>0</v>
      </c>
      <c r="P2382" s="62">
        <f ca="1" t="shared" si="154"/>
        <v>97</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0">
        <v>45861</v>
      </c>
      <c r="D2383" s="40" t="str">
        <f>VLOOKUP(B2383,辅助信息!E:K,7,FALSE)</f>
        <v>JWDDCD2025072900123</v>
      </c>
      <c r="E2383" s="40" t="str">
        <f>VLOOKUP(F2383,辅助信息!A:B,2,FALSE)</f>
        <v>高线</v>
      </c>
      <c r="F2383" s="40" t="s">
        <v>57</v>
      </c>
      <c r="G2383" s="36">
        <v>2.5</v>
      </c>
      <c r="H2383" s="134"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09" t="str">
        <f>VLOOKUP(B2383,辅助信息!E:J,6,FALSE)</f>
        <v>联系实际收货人（彭江涛13990276572）现场要求炉批号控制2个以下，超2个不给予签收。提前联系到场规格及数量</v>
      </c>
      <c r="M2383" s="91">
        <v>45863</v>
      </c>
      <c r="O2383" s="62">
        <f ca="1" t="shared" si="153"/>
        <v>0</v>
      </c>
      <c r="P2383" s="62">
        <f ca="1" t="shared" si="154"/>
        <v>97</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0">
        <v>45861</v>
      </c>
      <c r="D2384" s="40" t="str">
        <f>VLOOKUP(B2384,辅助信息!E:K,7,FALSE)</f>
        <v>JWDDCD2025072900123</v>
      </c>
      <c r="E2384" s="40" t="str">
        <f>VLOOKUP(F2384,辅助信息!A:B,2,FALSE)</f>
        <v>高线</v>
      </c>
      <c r="F2384" s="40" t="s">
        <v>53</v>
      </c>
      <c r="G2384" s="36">
        <v>6</v>
      </c>
      <c r="H2384" s="134"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09" t="str">
        <f>VLOOKUP(B2384,辅助信息!E:J,6,FALSE)</f>
        <v>联系实际收货人（彭江涛13990276572）现场要求炉批号控制2个以下，超2个不给予签收。提前联系到场规格及数量</v>
      </c>
      <c r="M2384" s="91">
        <v>45863</v>
      </c>
      <c r="O2384" s="62">
        <f ca="1" t="shared" si="153"/>
        <v>0</v>
      </c>
      <c r="P2384" s="62">
        <f ca="1" t="shared" si="154"/>
        <v>97</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0">
        <v>45861</v>
      </c>
      <c r="D2385" s="40" t="str">
        <f>VLOOKUP(B2385,辅助信息!E:K,7,FALSE)</f>
        <v>JWDDCD2025072900123</v>
      </c>
      <c r="E2385" s="40" t="str">
        <f>VLOOKUP(F2385,辅助信息!A:B,2,FALSE)</f>
        <v>盘螺</v>
      </c>
      <c r="F2385" s="40" t="s">
        <v>40</v>
      </c>
      <c r="G2385" s="36">
        <v>5</v>
      </c>
      <c r="H2385" s="134"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09" t="str">
        <f>VLOOKUP(B2385,辅助信息!E:J,6,FALSE)</f>
        <v>联系实际收货人（彭江涛13990276572）现场要求炉批号控制2个以下，超2个不给予签收。提前联系到场规格及数量</v>
      </c>
      <c r="M2385" s="91">
        <v>45863</v>
      </c>
      <c r="O2385" s="62">
        <f ca="1" t="shared" si="153"/>
        <v>0</v>
      </c>
      <c r="P2385" s="62">
        <f ca="1" t="shared" si="154"/>
        <v>97</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0">
        <v>45861</v>
      </c>
      <c r="D2386" s="40" t="str">
        <f>VLOOKUP(B2386,辅助信息!E:K,7,FALSE)</f>
        <v>JWDDCD2025072900123</v>
      </c>
      <c r="E2386" s="40" t="str">
        <f>VLOOKUP(F2386,辅助信息!A:B,2,FALSE)</f>
        <v>盘螺</v>
      </c>
      <c r="F2386" s="40" t="s">
        <v>41</v>
      </c>
      <c r="G2386" s="36">
        <v>10</v>
      </c>
      <c r="H2386" s="134"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09" t="str">
        <f>VLOOKUP(B2386,辅助信息!E:J,6,FALSE)</f>
        <v>联系实际收货人（彭江涛13990276572）现场要求炉批号控制2个以下，超2个不给予签收。提前联系到场规格及数量</v>
      </c>
      <c r="M2386" s="91">
        <v>45863</v>
      </c>
      <c r="O2386" s="62">
        <f ca="1" t="shared" si="153"/>
        <v>0</v>
      </c>
      <c r="P2386" s="62">
        <f ca="1" t="shared" si="154"/>
        <v>97</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0">
        <v>45861</v>
      </c>
      <c r="D2387" s="40" t="str">
        <f>VLOOKUP(B2387,辅助信息!E:K,7,FALSE)</f>
        <v>JWDDCD2025072900123</v>
      </c>
      <c r="E2387" s="40" t="str">
        <f>VLOOKUP(F2387,辅助信息!A:B,2,FALSE)</f>
        <v>盘螺</v>
      </c>
      <c r="F2387" s="40" t="s">
        <v>26</v>
      </c>
      <c r="G2387" s="36">
        <v>10</v>
      </c>
      <c r="H2387" s="134"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09" t="str">
        <f>VLOOKUP(B2387,辅助信息!E:J,6,FALSE)</f>
        <v>联系实际收货人（彭江涛13990276572）现场要求炉批号控制2个以下，超2个不给予签收。提前联系到场规格及数量</v>
      </c>
      <c r="M2387" s="91">
        <v>45863</v>
      </c>
      <c r="O2387" s="62">
        <f ca="1" t="shared" si="153"/>
        <v>0</v>
      </c>
      <c r="P2387" s="62">
        <f ca="1" t="shared" si="154"/>
        <v>97</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0">
        <v>45861</v>
      </c>
      <c r="D2388" s="40" t="str">
        <f>VLOOKUP(B2388,辅助信息!E:K,7,FALSE)</f>
        <v>JWDDCD2025072900123</v>
      </c>
      <c r="E2388" s="40" t="str">
        <f>VLOOKUP(F2388,辅助信息!A:B,2,FALSE)</f>
        <v>螺纹钢</v>
      </c>
      <c r="F2388" s="40" t="s">
        <v>76</v>
      </c>
      <c r="G2388" s="36">
        <v>40</v>
      </c>
      <c r="H2388" s="134"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09" t="str">
        <f>VLOOKUP(B2388,辅助信息!E:J,6,FALSE)</f>
        <v>联系实际收货人（彭江涛13990276572）现场要求炉批号控制2个以下，超2个不给予签收。提前联系到场规格及数量</v>
      </c>
      <c r="M2388" s="91">
        <v>45863</v>
      </c>
      <c r="O2388" s="62">
        <f ca="1" t="shared" si="153"/>
        <v>0</v>
      </c>
      <c r="P2388" s="62">
        <f ca="1" t="shared" si="154"/>
        <v>97</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0">
        <v>45861</v>
      </c>
      <c r="D2389" s="40" t="str">
        <f>VLOOKUP(B2389,辅助信息!E:K,7,FALSE)</f>
        <v>JWDDCD2025072900123</v>
      </c>
      <c r="E2389" s="40" t="str">
        <f>VLOOKUP(F2389,辅助信息!A:B,2,FALSE)</f>
        <v>螺纹钢</v>
      </c>
      <c r="F2389" s="40" t="s">
        <v>90</v>
      </c>
      <c r="G2389" s="36">
        <v>80</v>
      </c>
      <c r="H2389" s="134"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09" t="str">
        <f>VLOOKUP(B2389,辅助信息!E:J,6,FALSE)</f>
        <v>联系实际收货人（彭江涛13990276572）现场要求炉批号控制2个以下，超2个不给予签收。提前联系到场规格及数量</v>
      </c>
      <c r="M2389" s="91">
        <v>45863</v>
      </c>
      <c r="O2389" s="62">
        <f ca="1" t="shared" si="153"/>
        <v>0</v>
      </c>
      <c r="P2389" s="62">
        <f ca="1" t="shared" si="154"/>
        <v>97</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0">
        <v>45861</v>
      </c>
      <c r="D2390" s="40" t="str">
        <f>VLOOKUP(B2390,辅助信息!E:K,7,FALSE)</f>
        <v>JWDDCD2025072900123</v>
      </c>
      <c r="E2390" s="40" t="str">
        <f>VLOOKUP(F2390,辅助信息!A:B,2,FALSE)</f>
        <v>螺纹钢</v>
      </c>
      <c r="F2390" s="40" t="s">
        <v>130</v>
      </c>
      <c r="G2390" s="36">
        <v>30</v>
      </c>
      <c r="H2390" s="134"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09" t="str">
        <f>VLOOKUP(B2390,辅助信息!E:J,6,FALSE)</f>
        <v>联系实际收货人（彭江涛13990276572）现场要求炉批号控制2个以下，超2个不给予签收。提前联系到场规格及数量</v>
      </c>
      <c r="M2390" s="91">
        <v>45863</v>
      </c>
      <c r="O2390" s="62">
        <f ca="1" t="shared" si="153"/>
        <v>0</v>
      </c>
      <c r="P2390" s="62">
        <f ca="1" t="shared" si="154"/>
        <v>97</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0">
        <v>45861</v>
      </c>
      <c r="D2391" s="40" t="str">
        <f>VLOOKUP(B2391,辅助信息!E:K,7,FALSE)</f>
        <v>JWDDCD2025072900123</v>
      </c>
      <c r="E2391" s="40" t="str">
        <f>VLOOKUP(F2391,辅助信息!A:B,2,FALSE)</f>
        <v>螺纹钢</v>
      </c>
      <c r="F2391" s="40" t="s">
        <v>138</v>
      </c>
      <c r="G2391" s="36">
        <v>30</v>
      </c>
      <c r="H2391" s="134"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09" t="str">
        <f>VLOOKUP(B2391,辅助信息!E:J,6,FALSE)</f>
        <v>联系实际收货人（彭江涛13990276572）现场要求炉批号控制2个以下，超2个不给予签收。提前联系到场规格及数量</v>
      </c>
      <c r="M2391" s="91">
        <v>45863</v>
      </c>
      <c r="O2391" s="62">
        <f ca="1" t="shared" si="153"/>
        <v>0</v>
      </c>
      <c r="P2391" s="62">
        <f ca="1" t="shared" si="154"/>
        <v>97</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0">
        <v>45861</v>
      </c>
      <c r="D2392" s="40" t="str">
        <f>VLOOKUP(B2392,辅助信息!E:K,7,FALSE)</f>
        <v>JWDDCD2025072900123</v>
      </c>
      <c r="E2392" s="40" t="str">
        <f>VLOOKUP(F2392,辅助信息!A:B,2,FALSE)</f>
        <v>螺纹钢</v>
      </c>
      <c r="F2392" s="40" t="s">
        <v>133</v>
      </c>
      <c r="G2392" s="36">
        <v>8</v>
      </c>
      <c r="H2392" s="134"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09" t="str">
        <f>VLOOKUP(B2392,辅助信息!E:J,6,FALSE)</f>
        <v>联系实际收货人（彭江涛13990276572）现场要求炉批号控制2个以下，超2个不给予签收。提前联系到场规格及数量</v>
      </c>
      <c r="M2392" s="91">
        <v>45863</v>
      </c>
      <c r="O2392" s="62">
        <f ca="1" t="shared" si="153"/>
        <v>0</v>
      </c>
      <c r="P2392" s="62">
        <f ca="1" t="shared" si="154"/>
        <v>97</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0">
        <v>45861</v>
      </c>
      <c r="D2393" s="40" t="str">
        <f>VLOOKUP(B2393,辅助信息!E:K,7,FALSE)</f>
        <v>JWDDCD2025072900123</v>
      </c>
      <c r="E2393" s="40" t="str">
        <f>VLOOKUP(F2393,辅助信息!A:B,2,FALSE)</f>
        <v>螺纹钢</v>
      </c>
      <c r="F2393" s="40" t="s">
        <v>91</v>
      </c>
      <c r="G2393" s="36">
        <v>15</v>
      </c>
      <c r="H2393" s="134"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09" t="str">
        <f>VLOOKUP(B2393,辅助信息!E:J,6,FALSE)</f>
        <v>联系实际收货人（彭江涛13990276572）现场要求炉批号控制2个以下，超2个不给予签收。提前联系到场规格及数量</v>
      </c>
      <c r="M2393" s="91">
        <v>45863</v>
      </c>
      <c r="O2393" s="62">
        <f ca="1" t="shared" si="153"/>
        <v>0</v>
      </c>
      <c r="P2393" s="62">
        <f ca="1" t="shared" si="154"/>
        <v>97</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0">
        <v>45861</v>
      </c>
      <c r="D2394" s="40" t="str">
        <f>VLOOKUP(B2394,辅助信息!E:K,7,FALSE)</f>
        <v>JWDDCD2025072900123</v>
      </c>
      <c r="E2394" s="40" t="str">
        <f>VLOOKUP(F2394,辅助信息!A:B,2,FALSE)</f>
        <v>螺纹钢</v>
      </c>
      <c r="F2394" s="40" t="s">
        <v>142</v>
      </c>
      <c r="G2394" s="36">
        <v>15</v>
      </c>
      <c r="H2394" s="134"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09" t="str">
        <f>VLOOKUP(B2394,辅助信息!E:J,6,FALSE)</f>
        <v>联系实际收货人（彭江涛13990276572）现场要求炉批号控制2个以下，超2个不给予签收。提前联系到场规格及数量</v>
      </c>
      <c r="M2394" s="91">
        <v>45863</v>
      </c>
      <c r="O2394" s="62">
        <f ca="1" t="shared" si="153"/>
        <v>0</v>
      </c>
      <c r="P2394" s="62">
        <f ca="1" t="shared" si="154"/>
        <v>97</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0">
        <v>45861</v>
      </c>
      <c r="D2395" s="40" t="str">
        <f>VLOOKUP(B2395,辅助信息!E:K,7,FALSE)</f>
        <v>JWDDCD2025072900123</v>
      </c>
      <c r="E2395" s="40" t="str">
        <f>VLOOKUP(F2395,辅助信息!A:B,2,FALSE)</f>
        <v>螺纹钢</v>
      </c>
      <c r="F2395" s="40" t="s">
        <v>200</v>
      </c>
      <c r="G2395" s="36">
        <v>10</v>
      </c>
      <c r="H2395" s="134"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09" t="str">
        <f>VLOOKUP(B2395,辅助信息!E:J,6,FALSE)</f>
        <v>联系实际收货人（彭江涛13990276572）现场要求炉批号控制2个以下，超2个不给予签收。提前联系到场规格及数量</v>
      </c>
      <c r="M2395" s="91">
        <v>45863</v>
      </c>
      <c r="O2395" s="62">
        <f ca="1" t="shared" si="153"/>
        <v>0</v>
      </c>
      <c r="P2395" s="62">
        <f ca="1" t="shared" si="154"/>
        <v>97</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0">
        <v>45861</v>
      </c>
      <c r="D2396" s="40" t="str">
        <f>VLOOKUP(B2396,辅助信息!E:K,7,FALSE)</f>
        <v>JWDDCD2025072900123</v>
      </c>
      <c r="E2396" s="40" t="str">
        <f>VLOOKUP(F2396,辅助信息!A:B,2,FALSE)</f>
        <v>螺纹钢</v>
      </c>
      <c r="F2396" s="40" t="s">
        <v>201</v>
      </c>
      <c r="G2396" s="36">
        <v>10</v>
      </c>
      <c r="H2396" s="134"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09" t="str">
        <f>VLOOKUP(B2396,辅助信息!E:J,6,FALSE)</f>
        <v>联系实际收货人（彭江涛13990276572）现场要求炉批号控制2个以下，超2个不给予签收。提前联系到场规格及数量</v>
      </c>
      <c r="M2396" s="91">
        <v>45863</v>
      </c>
      <c r="O2396" s="62">
        <f ca="1" t="shared" si="153"/>
        <v>0</v>
      </c>
      <c r="P2396" s="62">
        <f ca="1" t="shared" si="154"/>
        <v>97</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0">
        <v>45861</v>
      </c>
      <c r="D2397" s="40" t="str">
        <f>VLOOKUP(B2397,辅助信息!E:K,7,FALSE)</f>
        <v>JWDDCD2025072900123</v>
      </c>
      <c r="E2397" s="40" t="str">
        <f>VLOOKUP(F2397,辅助信息!A:B,2,FALSE)</f>
        <v>盘螺</v>
      </c>
      <c r="F2397" s="40" t="s">
        <v>40</v>
      </c>
      <c r="G2397" s="36">
        <v>10</v>
      </c>
      <c r="H2397" s="134"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09" t="str">
        <f>VLOOKUP(B2397,辅助信息!E:J,6,FALSE)</f>
        <v>联系实际收货人（彭江涛13990276572）现场要求炉批号控制2个以下，超2个不给予签收。提前联系到场规格及数量</v>
      </c>
      <c r="M2397" s="91">
        <v>45863</v>
      </c>
      <c r="O2397" s="62">
        <f ca="1" t="shared" ref="O2397:O2460" si="155">IF(OR(M2397="",N2397&lt;&gt;""),"",MAX(M2397-TODAY(),0))</f>
        <v>0</v>
      </c>
      <c r="P2397" s="62">
        <f ca="1" t="shared" ref="P2397:P2460" si="156">IF(M2397="","",IF(N2397&lt;&gt;"",MAX(N2397-M2397,0),IF(TODAY()&gt;M2397,TODAY()-M2397,0)))</f>
        <v>97</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0">
        <v>45861</v>
      </c>
      <c r="D2398" s="40" t="str">
        <f>VLOOKUP(B2398,辅助信息!E:K,7,FALSE)</f>
        <v>JWDDCD2025072900123</v>
      </c>
      <c r="E2398" s="40" t="str">
        <f>VLOOKUP(F2398,辅助信息!A:B,2,FALSE)</f>
        <v>盘螺</v>
      </c>
      <c r="F2398" s="40" t="s">
        <v>41</v>
      </c>
      <c r="G2398" s="36">
        <v>10</v>
      </c>
      <c r="H2398" s="134"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09" t="str">
        <f>VLOOKUP(B2398,辅助信息!E:J,6,FALSE)</f>
        <v>联系实际收货人（彭江涛13990276572）现场要求炉批号控制2个以下，超2个不给予签收。提前联系到场规格及数量</v>
      </c>
      <c r="M2398" s="91">
        <v>45863</v>
      </c>
      <c r="O2398" s="62">
        <f ca="1" t="shared" si="155"/>
        <v>0</v>
      </c>
      <c r="P2398" s="62">
        <f ca="1" t="shared" si="156"/>
        <v>97</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0">
        <v>45861</v>
      </c>
      <c r="D2399" s="40" t="str">
        <f>VLOOKUP(B2399,辅助信息!E:K,7,FALSE)</f>
        <v>JWDDCD2025072900123</v>
      </c>
      <c r="E2399" s="40" t="str">
        <f>VLOOKUP(F2399,辅助信息!A:B,2,FALSE)</f>
        <v>盘螺</v>
      </c>
      <c r="F2399" s="40" t="s">
        <v>26</v>
      </c>
      <c r="G2399" s="36">
        <v>10</v>
      </c>
      <c r="H2399" s="134"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09" t="str">
        <f>VLOOKUP(B2399,辅助信息!E:J,6,FALSE)</f>
        <v>联系实际收货人（彭江涛13990276572）现场要求炉批号控制2个以下，超2个不给予签收。提前联系到场规格及数量</v>
      </c>
      <c r="M2399" s="91">
        <v>45863</v>
      </c>
      <c r="O2399" s="62">
        <f ca="1" t="shared" si="155"/>
        <v>0</v>
      </c>
      <c r="P2399" s="62">
        <f ca="1" t="shared" si="156"/>
        <v>97</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0">
        <v>45861</v>
      </c>
      <c r="D2400" s="40" t="str">
        <f>VLOOKUP(B2400,辅助信息!E:K,7,FALSE)</f>
        <v>JWDDCD2025072900123</v>
      </c>
      <c r="E2400" s="40" t="str">
        <f>VLOOKUP(F2400,辅助信息!A:B,2,FALSE)</f>
        <v>螺纹钢</v>
      </c>
      <c r="F2400" s="40" t="s">
        <v>76</v>
      </c>
      <c r="G2400" s="36">
        <v>5</v>
      </c>
      <c r="H2400" s="134"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09" t="str">
        <f>VLOOKUP(B2400,辅助信息!E:J,6,FALSE)</f>
        <v>联系实际收货人（彭江涛13990276572）现场要求炉批号控制2个以下，超2个不给予签收。提前联系到场规格及数量</v>
      </c>
      <c r="M2400" s="91">
        <v>45863</v>
      </c>
      <c r="O2400" s="62">
        <f ca="1" t="shared" si="155"/>
        <v>0</v>
      </c>
      <c r="P2400" s="62">
        <f ca="1" t="shared" si="156"/>
        <v>97</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0">
        <v>45861</v>
      </c>
      <c r="D2401" s="40" t="str">
        <f>VLOOKUP(B2401,辅助信息!E:K,7,FALSE)</f>
        <v>JWDDCD2025072900123</v>
      </c>
      <c r="E2401" s="40" t="str">
        <f>VLOOKUP(F2401,辅助信息!A:B,2,FALSE)</f>
        <v>螺纹钢</v>
      </c>
      <c r="F2401" s="40" t="s">
        <v>90</v>
      </c>
      <c r="G2401" s="36">
        <v>5</v>
      </c>
      <c r="H2401" s="134"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09" t="str">
        <f>VLOOKUP(B2401,辅助信息!E:J,6,FALSE)</f>
        <v>联系实际收货人（彭江涛13990276572）现场要求炉批号控制2个以下，超2个不给予签收。提前联系到场规格及数量</v>
      </c>
      <c r="M2401" s="91">
        <v>45863</v>
      </c>
      <c r="O2401" s="62">
        <f ca="1" t="shared" si="155"/>
        <v>0</v>
      </c>
      <c r="P2401" s="62">
        <f ca="1" t="shared" si="156"/>
        <v>97</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0">
        <v>45861</v>
      </c>
      <c r="D2402" s="40" t="str">
        <f>VLOOKUP(B2402,辅助信息!E:K,7,FALSE)</f>
        <v>JWDDCD2025072900123</v>
      </c>
      <c r="E2402" s="40" t="str">
        <f>VLOOKUP(F2402,辅助信息!A:B,2,FALSE)</f>
        <v>螺纹钢</v>
      </c>
      <c r="F2402" s="40" t="s">
        <v>138</v>
      </c>
      <c r="G2402" s="36">
        <v>10</v>
      </c>
      <c r="H2402" s="134"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09" t="str">
        <f>VLOOKUP(B2402,辅助信息!E:J,6,FALSE)</f>
        <v>联系实际收货人（彭江涛13990276572）现场要求炉批号控制2个以下，超2个不给予签收。提前联系到场规格及数量</v>
      </c>
      <c r="M2402" s="91">
        <v>45863</v>
      </c>
      <c r="O2402" s="62">
        <f ca="1" t="shared" si="155"/>
        <v>0</v>
      </c>
      <c r="P2402" s="62">
        <f ca="1" t="shared" si="156"/>
        <v>97</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0">
        <v>45861</v>
      </c>
      <c r="D2403" s="40" t="str">
        <f>VLOOKUP(B2403,辅助信息!E:K,7,FALSE)</f>
        <v>JWDDCD2025072900123</v>
      </c>
      <c r="E2403" s="40" t="str">
        <f>VLOOKUP(F2403,辅助信息!A:B,2,FALSE)</f>
        <v>螺纹钢</v>
      </c>
      <c r="F2403" s="40" t="s">
        <v>91</v>
      </c>
      <c r="G2403" s="36">
        <v>15</v>
      </c>
      <c r="H2403" s="134"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09" t="str">
        <f>VLOOKUP(B2403,辅助信息!E:J,6,FALSE)</f>
        <v>联系实际收货人（彭江涛13990276572）现场要求炉批号控制2个以下，超2个不给予签收。提前联系到场规格及数量</v>
      </c>
      <c r="M2403" s="91">
        <v>45863</v>
      </c>
      <c r="O2403" s="62">
        <f ca="1" t="shared" si="155"/>
        <v>0</v>
      </c>
      <c r="P2403" s="62">
        <f ca="1" t="shared" si="156"/>
        <v>97</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0">
        <v>45861</v>
      </c>
      <c r="D2404" s="40" t="str">
        <f>VLOOKUP(B2404,辅助信息!E:K,7,FALSE)</f>
        <v>JWDDCD2025072900123</v>
      </c>
      <c r="E2404" s="40" t="str">
        <f>VLOOKUP(F2404,辅助信息!A:B,2,FALSE)</f>
        <v>螺纹钢</v>
      </c>
      <c r="F2404" s="40" t="s">
        <v>140</v>
      </c>
      <c r="G2404" s="36">
        <v>6</v>
      </c>
      <c r="H2404" s="134"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09" t="str">
        <f>VLOOKUP(B2404,辅助信息!E:J,6,FALSE)</f>
        <v>联系实际收货人（彭江涛13990276572）现场要求炉批号控制2个以下，超2个不给予签收。提前联系到场规格及数量</v>
      </c>
      <c r="M2404" s="91">
        <v>45863</v>
      </c>
      <c r="O2404" s="62">
        <f ca="1" t="shared" si="155"/>
        <v>0</v>
      </c>
      <c r="P2404" s="62">
        <f ca="1" t="shared" si="156"/>
        <v>97</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0">
        <v>45861</v>
      </c>
      <c r="D2405" s="40" t="str">
        <f>VLOOKUP(B2405,辅助信息!E:K,7,FALSE)</f>
        <v>JWDDCD2025072900123</v>
      </c>
      <c r="E2405" s="40" t="str">
        <f>VLOOKUP(F2405,辅助信息!A:B,2,FALSE)</f>
        <v>螺纹钢</v>
      </c>
      <c r="F2405" s="40" t="s">
        <v>197</v>
      </c>
      <c r="G2405" s="36">
        <v>6</v>
      </c>
      <c r="H2405" s="134"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09" t="str">
        <f>VLOOKUP(B2405,辅助信息!E:J,6,FALSE)</f>
        <v>联系实际收货人（彭江涛13990276572）现场要求炉批号控制2个以下，超2个不给予签收。提前联系到场规格及数量</v>
      </c>
      <c r="M2405" s="91">
        <v>45863</v>
      </c>
      <c r="O2405" s="62">
        <f ca="1" t="shared" si="155"/>
        <v>0</v>
      </c>
      <c r="P2405" s="62">
        <f ca="1" t="shared" si="156"/>
        <v>97</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0">
        <v>45861</v>
      </c>
      <c r="D2406" s="40" t="str">
        <f>VLOOKUP(B2406,辅助信息!E:K,7,FALSE)</f>
        <v>JWDDCD2025072900123</v>
      </c>
      <c r="E2406" s="40" t="str">
        <f>VLOOKUP(F2406,辅助信息!A:B,2,FALSE)</f>
        <v>螺纹钢</v>
      </c>
      <c r="F2406" s="40" t="s">
        <v>198</v>
      </c>
      <c r="G2406" s="36">
        <v>10</v>
      </c>
      <c r="H2406" s="134"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09" t="str">
        <f>VLOOKUP(B2406,辅助信息!E:J,6,FALSE)</f>
        <v>联系实际收货人（彭江涛13990276572）现场要求炉批号控制2个以下，超2个不给予签收。提前联系到场规格及数量</v>
      </c>
      <c r="M2406" s="91">
        <v>45863</v>
      </c>
      <c r="O2406" s="62">
        <f ca="1" t="shared" si="155"/>
        <v>0</v>
      </c>
      <c r="P2406" s="62">
        <f ca="1" t="shared" si="156"/>
        <v>97</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0">
        <v>45861</v>
      </c>
      <c r="D2407" s="40" t="str">
        <f>VLOOKUP(B2407,辅助信息!E:K,7,FALSE)</f>
        <v>JWDDCD2025072900123</v>
      </c>
      <c r="E2407" s="40" t="str">
        <f>VLOOKUP(F2407,辅助信息!A:B,2,FALSE)</f>
        <v>螺纹钢</v>
      </c>
      <c r="F2407" s="40" t="s">
        <v>199</v>
      </c>
      <c r="G2407" s="36">
        <v>10</v>
      </c>
      <c r="H2407" s="134"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09" t="str">
        <f>VLOOKUP(B2407,辅助信息!E:J,6,FALSE)</f>
        <v>联系实际收货人（彭江涛13990276572）现场要求炉批号控制2个以下，超2个不给予签收。提前联系到场规格及数量</v>
      </c>
      <c r="M2407" s="91">
        <v>45863</v>
      </c>
      <c r="O2407" s="62">
        <f ca="1" t="shared" si="155"/>
        <v>0</v>
      </c>
      <c r="P2407" s="62">
        <f ca="1" t="shared" si="156"/>
        <v>97</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0">
        <v>45861</v>
      </c>
      <c r="D2408" s="40" t="str">
        <f>VLOOKUP(B2408,辅助信息!E:K,7,FALSE)</f>
        <v>JWDDCD2025072900123</v>
      </c>
      <c r="E2408" s="40" t="str">
        <f>VLOOKUP(F2408,辅助信息!A:B,2,FALSE)</f>
        <v>螺纹钢</v>
      </c>
      <c r="F2408" s="40" t="s">
        <v>142</v>
      </c>
      <c r="G2408" s="36">
        <v>30</v>
      </c>
      <c r="H2408" s="134"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09" t="str">
        <f>VLOOKUP(B2408,辅助信息!E:J,6,FALSE)</f>
        <v>联系实际收货人（彭江涛13990276572）现场要求炉批号控制2个以下，超2个不给予签收。提前联系到场规格及数量</v>
      </c>
      <c r="M2408" s="91">
        <v>45863</v>
      </c>
      <c r="O2408" s="62">
        <f ca="1" t="shared" si="155"/>
        <v>0</v>
      </c>
      <c r="P2408" s="62">
        <f ca="1" t="shared" si="156"/>
        <v>97</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0">
        <v>45861</v>
      </c>
      <c r="D2409" s="40" t="str">
        <f>VLOOKUP(B2409,辅助信息!E:K,7,FALSE)</f>
        <v>JWDDCD2025072900123</v>
      </c>
      <c r="E2409" s="40" t="str">
        <f>VLOOKUP(F2409,辅助信息!A:B,2,FALSE)</f>
        <v>螺纹钢</v>
      </c>
      <c r="F2409" s="40" t="s">
        <v>200</v>
      </c>
      <c r="G2409" s="36">
        <v>20</v>
      </c>
      <c r="H2409" s="134"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09" t="str">
        <f>VLOOKUP(B2409,辅助信息!E:J,6,FALSE)</f>
        <v>联系实际收货人（彭江涛13990276572）现场要求炉批号控制2个以下，超2个不给予签收。提前联系到场规格及数量</v>
      </c>
      <c r="M2409" s="91">
        <v>45863</v>
      </c>
      <c r="O2409" s="62">
        <f ca="1" t="shared" si="155"/>
        <v>0</v>
      </c>
      <c r="P2409" s="62">
        <f ca="1" t="shared" si="156"/>
        <v>97</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0">
        <v>45861</v>
      </c>
      <c r="D2410" s="40" t="str">
        <f>VLOOKUP(B2410,辅助信息!E:K,7,FALSE)</f>
        <v>JWDDCD2025072900123</v>
      </c>
      <c r="E2410" s="40" t="str">
        <f>VLOOKUP(F2410,辅助信息!A:B,2,FALSE)</f>
        <v>螺纹钢</v>
      </c>
      <c r="F2410" s="40" t="s">
        <v>201</v>
      </c>
      <c r="G2410" s="36">
        <v>20</v>
      </c>
      <c r="H2410" s="134"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09" t="str">
        <f>VLOOKUP(B2410,辅助信息!E:J,6,FALSE)</f>
        <v>联系实际收货人（彭江涛13990276572）现场要求炉批号控制2个以下，超2个不给予签收。提前联系到场规格及数量</v>
      </c>
      <c r="M2410" s="91">
        <v>45863</v>
      </c>
      <c r="O2410" s="62">
        <f ca="1" t="shared" si="155"/>
        <v>0</v>
      </c>
      <c r="P2410" s="62">
        <f ca="1" t="shared" si="156"/>
        <v>97</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0">
        <v>45861</v>
      </c>
      <c r="D2411" s="40" t="str">
        <f>VLOOKUP(B2411,辅助信息!E:K,7,FALSE)</f>
        <v>JWDDCD2025102100476</v>
      </c>
      <c r="E2411" s="40" t="str">
        <f>VLOOKUP(F2411,辅助信息!A:B,2,FALSE)</f>
        <v>盘螺</v>
      </c>
      <c r="F2411" s="40" t="s">
        <v>49</v>
      </c>
      <c r="G2411" s="36">
        <v>2.5</v>
      </c>
      <c r="H2411" s="134">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89"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1">
        <v>45863</v>
      </c>
      <c r="O2411" s="62">
        <f ca="1" t="shared" si="155"/>
        <v>0</v>
      </c>
      <c r="P2411" s="62">
        <f ca="1" t="shared" si="156"/>
        <v>97</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0">
        <v>45861</v>
      </c>
      <c r="D2412" s="40" t="str">
        <f>VLOOKUP(B2412,辅助信息!E:K,7,FALSE)</f>
        <v>JWDDCD2025102100476</v>
      </c>
      <c r="E2412" s="40" t="str">
        <f>VLOOKUP(F2412,辅助信息!A:B,2,FALSE)</f>
        <v>盘螺</v>
      </c>
      <c r="F2412" s="40" t="s">
        <v>40</v>
      </c>
      <c r="G2412" s="36">
        <v>2.5</v>
      </c>
      <c r="H2412" s="134">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0"/>
      <c r="M2412" s="91">
        <v>45863</v>
      </c>
      <c r="O2412" s="62">
        <f ca="1" t="shared" si="155"/>
        <v>0</v>
      </c>
      <c r="P2412" s="62">
        <f ca="1" t="shared" si="156"/>
        <v>97</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0">
        <v>45861</v>
      </c>
      <c r="D2413" s="40" t="str">
        <f>VLOOKUP(B2413,辅助信息!E:K,7,FALSE)</f>
        <v>JWDDCD2025102100476</v>
      </c>
      <c r="E2413" s="40" t="str">
        <f>VLOOKUP(F2413,辅助信息!A:B,2,FALSE)</f>
        <v>盘螺</v>
      </c>
      <c r="F2413" s="40" t="s">
        <v>41</v>
      </c>
      <c r="G2413" s="36">
        <v>2.5</v>
      </c>
      <c r="H2413" s="134">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0"/>
      <c r="M2413" s="91">
        <v>45863</v>
      </c>
      <c r="O2413" s="62">
        <f ca="1" t="shared" si="155"/>
        <v>0</v>
      </c>
      <c r="P2413" s="62">
        <f ca="1" t="shared" si="156"/>
        <v>97</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0">
        <v>45861</v>
      </c>
      <c r="D2414" s="40" t="str">
        <f>VLOOKUP(B2414,辅助信息!E:K,7,FALSE)</f>
        <v>JWDDCD2025102100476</v>
      </c>
      <c r="E2414" s="40" t="str">
        <f>VLOOKUP(F2414,辅助信息!A:B,2,FALSE)</f>
        <v>螺纹钢</v>
      </c>
      <c r="F2414" s="40" t="s">
        <v>27</v>
      </c>
      <c r="G2414" s="36">
        <v>10</v>
      </c>
      <c r="H2414" s="134">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0"/>
      <c r="M2414" s="91">
        <v>45863</v>
      </c>
      <c r="O2414" s="62">
        <f ca="1" t="shared" si="155"/>
        <v>0</v>
      </c>
      <c r="P2414" s="62">
        <f ca="1" t="shared" si="156"/>
        <v>97</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0">
        <v>45861</v>
      </c>
      <c r="D2415" s="40" t="str">
        <f>VLOOKUP(B2415,辅助信息!E:K,7,FALSE)</f>
        <v>JWDDCD2025102100476</v>
      </c>
      <c r="E2415" s="40" t="str">
        <f>VLOOKUP(F2415,辅助信息!A:B,2,FALSE)</f>
        <v>螺纹钢</v>
      </c>
      <c r="F2415" s="40" t="s">
        <v>19</v>
      </c>
      <c r="G2415" s="36">
        <v>20</v>
      </c>
      <c r="H2415" s="134">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0"/>
      <c r="M2415" s="91">
        <v>45863</v>
      </c>
      <c r="O2415" s="62">
        <f ca="1" t="shared" si="155"/>
        <v>0</v>
      </c>
      <c r="P2415" s="62">
        <f ca="1" t="shared" si="156"/>
        <v>97</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0">
        <v>45861</v>
      </c>
      <c r="D2416" s="40" t="str">
        <f>VLOOKUP(B2416,辅助信息!E:K,7,FALSE)</f>
        <v>JWDDCD2025102100476</v>
      </c>
      <c r="E2416" s="40" t="str">
        <f>VLOOKUP(F2416,辅助信息!A:B,2,FALSE)</f>
        <v>螺纹钢</v>
      </c>
      <c r="F2416" s="40" t="s">
        <v>32</v>
      </c>
      <c r="G2416" s="36">
        <v>10</v>
      </c>
      <c r="H2416" s="134">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0"/>
      <c r="M2416" s="91">
        <v>45863</v>
      </c>
      <c r="O2416" s="62">
        <f ca="1" t="shared" si="155"/>
        <v>0</v>
      </c>
      <c r="P2416" s="62">
        <f ca="1" t="shared" si="156"/>
        <v>97</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0">
        <v>45861</v>
      </c>
      <c r="D2417" s="40" t="str">
        <f>VLOOKUP(B2417,辅助信息!E:K,7,FALSE)</f>
        <v>JWDDCD2025102100476</v>
      </c>
      <c r="E2417" s="40" t="str">
        <f>VLOOKUP(F2417,辅助信息!A:B,2,FALSE)</f>
        <v>螺纹钢</v>
      </c>
      <c r="F2417" s="40" t="s">
        <v>30</v>
      </c>
      <c r="G2417" s="36">
        <v>25</v>
      </c>
      <c r="H2417" s="134">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0"/>
      <c r="M2417" s="91">
        <v>45863</v>
      </c>
      <c r="O2417" s="62">
        <f ca="1" t="shared" si="155"/>
        <v>0</v>
      </c>
      <c r="P2417" s="62">
        <f ca="1" t="shared" si="156"/>
        <v>97</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0">
        <v>45861</v>
      </c>
      <c r="D2418" s="40" t="str">
        <f>VLOOKUP(B2418,辅助信息!E:K,7,FALSE)</f>
        <v>JWDDCD2025102100476</v>
      </c>
      <c r="E2418" s="40" t="str">
        <f>VLOOKUP(F2418,辅助信息!A:B,2,FALSE)</f>
        <v>螺纹钢</v>
      </c>
      <c r="F2418" s="40" t="s">
        <v>33</v>
      </c>
      <c r="G2418" s="36">
        <v>10</v>
      </c>
      <c r="H2418" s="134">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0"/>
      <c r="M2418" s="91">
        <v>45863</v>
      </c>
      <c r="O2418" s="62">
        <f ca="1" t="shared" si="155"/>
        <v>0</v>
      </c>
      <c r="P2418" s="62">
        <f ca="1" t="shared" si="156"/>
        <v>97</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0">
        <v>45861</v>
      </c>
      <c r="D2419" s="40" t="str">
        <f>VLOOKUP(B2419,辅助信息!E:K,7,FALSE)</f>
        <v>JWDDCD2025102100476</v>
      </c>
      <c r="E2419" s="40" t="str">
        <f>VLOOKUP(F2419,辅助信息!A:B,2,FALSE)</f>
        <v>螺纹钢</v>
      </c>
      <c r="F2419" s="40" t="s">
        <v>28</v>
      </c>
      <c r="G2419" s="36">
        <v>10</v>
      </c>
      <c r="H2419" s="134">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0"/>
      <c r="M2419" s="91">
        <v>45863</v>
      </c>
      <c r="O2419" s="62">
        <f ca="1" t="shared" si="155"/>
        <v>0</v>
      </c>
      <c r="P2419" s="62">
        <f ca="1" t="shared" si="156"/>
        <v>97</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0">
        <v>45861</v>
      </c>
      <c r="D2420" s="40" t="str">
        <f>VLOOKUP(B2420,辅助信息!E:K,7,FALSE)</f>
        <v>JWDDCD2025102100476</v>
      </c>
      <c r="E2420" s="40" t="str">
        <f>VLOOKUP(F2420,辅助信息!A:B,2,FALSE)</f>
        <v>螺纹钢</v>
      </c>
      <c r="F2420" s="40" t="s">
        <v>18</v>
      </c>
      <c r="G2420" s="36">
        <v>15</v>
      </c>
      <c r="H2420" s="134">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0"/>
      <c r="M2420" s="91">
        <v>45863</v>
      </c>
      <c r="O2420" s="62">
        <f ca="1" t="shared" si="155"/>
        <v>0</v>
      </c>
      <c r="P2420" s="62">
        <f ca="1" t="shared" si="156"/>
        <v>97</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0">
        <v>45861</v>
      </c>
      <c r="D2421" s="40" t="str">
        <f>VLOOKUP(B2421,辅助信息!E:K,7,FALSE)</f>
        <v>JWDDCD2025102100476</v>
      </c>
      <c r="E2421" s="40" t="str">
        <f>VLOOKUP(F2421,辅助信息!A:B,2,FALSE)</f>
        <v>螺纹钢</v>
      </c>
      <c r="F2421" s="40" t="s">
        <v>65</v>
      </c>
      <c r="G2421" s="36">
        <v>10</v>
      </c>
      <c r="H2421" s="134">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0"/>
      <c r="M2421" s="91">
        <v>45863</v>
      </c>
      <c r="O2421" s="62">
        <f ca="1" t="shared" si="155"/>
        <v>0</v>
      </c>
      <c r="P2421" s="62">
        <f ca="1" t="shared" si="156"/>
        <v>97</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0">
        <v>45861</v>
      </c>
      <c r="D2422" s="40" t="str">
        <f>VLOOKUP(B2422,辅助信息!E:K,7,FALSE)</f>
        <v>JWDDCD2025102100476</v>
      </c>
      <c r="E2422" s="40" t="str">
        <f>VLOOKUP(F2422,辅助信息!A:B,2,FALSE)</f>
        <v>螺纹钢</v>
      </c>
      <c r="F2422" s="40" t="s">
        <v>45</v>
      </c>
      <c r="G2422" s="36">
        <v>10</v>
      </c>
      <c r="H2422" s="134">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0"/>
      <c r="M2422" s="91">
        <v>45863</v>
      </c>
      <c r="O2422" s="62">
        <f ca="1" t="shared" si="155"/>
        <v>0</v>
      </c>
      <c r="P2422" s="62">
        <f ca="1" t="shared" si="156"/>
        <v>97</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0">
        <v>45861</v>
      </c>
      <c r="D2423" s="40" t="str">
        <f>VLOOKUP(B2423,辅助信息!E:K,7,FALSE)</f>
        <v>JWDDCD2025102100476</v>
      </c>
      <c r="E2423" s="40" t="str">
        <f>VLOOKUP(F2423,辅助信息!A:B,2,FALSE)</f>
        <v>螺纹钢</v>
      </c>
      <c r="F2423" s="40" t="s">
        <v>21</v>
      </c>
      <c r="G2423" s="36">
        <v>5</v>
      </c>
      <c r="H2423" s="134">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0"/>
      <c r="M2423" s="91">
        <v>45863</v>
      </c>
      <c r="O2423" s="62">
        <f ca="1" t="shared" si="155"/>
        <v>0</v>
      </c>
      <c r="P2423" s="62">
        <f ca="1" t="shared" si="156"/>
        <v>97</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0">
        <v>45861</v>
      </c>
      <c r="D2424" s="40" t="str">
        <f>VLOOKUP(B2424,辅助信息!E:K,7,FALSE)</f>
        <v>JWDDCD2025102100476</v>
      </c>
      <c r="E2424" s="40" t="str">
        <f>VLOOKUP(F2424,辅助信息!A:B,2,FALSE)</f>
        <v>螺纹钢</v>
      </c>
      <c r="F2424" s="40" t="s">
        <v>58</v>
      </c>
      <c r="G2424" s="36">
        <v>5</v>
      </c>
      <c r="H2424" s="134">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0"/>
      <c r="M2424" s="91">
        <v>45863</v>
      </c>
      <c r="O2424" s="62">
        <f ca="1" t="shared" si="155"/>
        <v>0</v>
      </c>
      <c r="P2424" s="62">
        <f ca="1" t="shared" si="156"/>
        <v>97</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0">
        <v>45861</v>
      </c>
      <c r="D2425" s="40" t="str">
        <f>VLOOKUP(B2425,辅助信息!E:K,7,FALSE)</f>
        <v>JWDDCD2025102100476</v>
      </c>
      <c r="E2425" s="40" t="str">
        <f>VLOOKUP(F2425,辅助信息!A:B,2,FALSE)</f>
        <v>螺纹钢</v>
      </c>
      <c r="F2425" s="40" t="s">
        <v>46</v>
      </c>
      <c r="G2425" s="36">
        <v>3</v>
      </c>
      <c r="H2425" s="134">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0"/>
      <c r="M2425" s="91">
        <v>45863</v>
      </c>
      <c r="O2425" s="62">
        <f ca="1" t="shared" si="155"/>
        <v>0</v>
      </c>
      <c r="P2425" s="62">
        <f ca="1" t="shared" si="156"/>
        <v>97</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0">
        <v>45861</v>
      </c>
      <c r="D2426" s="40" t="str">
        <f>VLOOKUP(B2426,辅助信息!E:K,7,FALSE)</f>
        <v>JWDDCD2025102100476</v>
      </c>
      <c r="E2426" s="40" t="str">
        <f>VLOOKUP(F2426,辅助信息!A:B,2,FALSE)</f>
        <v>螺纹钢</v>
      </c>
      <c r="F2426" s="40" t="s">
        <v>22</v>
      </c>
      <c r="G2426" s="36">
        <v>3</v>
      </c>
      <c r="H2426" s="134">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0"/>
      <c r="M2426" s="91">
        <v>45863</v>
      </c>
      <c r="O2426" s="62">
        <f ca="1" t="shared" si="155"/>
        <v>0</v>
      </c>
      <c r="P2426" s="62">
        <f ca="1" t="shared" si="156"/>
        <v>97</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0">
        <v>45861</v>
      </c>
      <c r="D2427" s="40" t="str">
        <f>VLOOKUP(B2427,辅助信息!E:K,7,FALSE)</f>
        <v>JWDDCD2025102100476</v>
      </c>
      <c r="E2427" s="40" t="str">
        <f>VLOOKUP(F2427,辅助信息!A:B,2,FALSE)</f>
        <v>螺纹钢</v>
      </c>
      <c r="F2427" s="40" t="s">
        <v>181</v>
      </c>
      <c r="G2427" s="36">
        <v>3</v>
      </c>
      <c r="H2427" s="134">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0"/>
      <c r="M2427" s="91">
        <v>45863</v>
      </c>
      <c r="O2427" s="62">
        <f ca="1" t="shared" si="155"/>
        <v>0</v>
      </c>
      <c r="P2427" s="62">
        <f ca="1" t="shared" si="156"/>
        <v>97</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0">
        <v>45861</v>
      </c>
      <c r="D2428" s="40" t="str">
        <f>VLOOKUP(B2428,辅助信息!E:K,7,FALSE)</f>
        <v>JWDDCD2025102100476</v>
      </c>
      <c r="E2428" s="40" t="str">
        <f>VLOOKUP(F2428,辅助信息!A:B,2,FALSE)</f>
        <v>螺纹钢</v>
      </c>
      <c r="F2428" s="40" t="s">
        <v>182</v>
      </c>
      <c r="G2428" s="36">
        <v>3</v>
      </c>
      <c r="H2428" s="134">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5"/>
      <c r="M2428" s="91">
        <v>45863</v>
      </c>
      <c r="O2428" s="62">
        <f ca="1" t="shared" si="155"/>
        <v>0</v>
      </c>
      <c r="P2428" s="62">
        <f ca="1" t="shared" si="156"/>
        <v>97</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1" t="s">
        <v>202</v>
      </c>
      <c r="B2429" s="40" t="s">
        <v>203</v>
      </c>
      <c r="C2429" s="70">
        <v>45862</v>
      </c>
      <c r="D2429" s="40" t="str">
        <f>VLOOKUP(B2429,辅助信息!E:K,7,FALSE)</f>
        <v>JWDDCD2025102100479</v>
      </c>
      <c r="E2429" s="40" t="str">
        <f>VLOOKUP(F2429,辅助信息!A:B,2,FALSE)</f>
        <v>盘螺</v>
      </c>
      <c r="F2429" s="40" t="s">
        <v>40</v>
      </c>
      <c r="G2429" s="36">
        <v>2</v>
      </c>
      <c r="H2429" s="134"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89"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2" t="str">
        <f ca="1" t="shared" si="155"/>
        <v/>
      </c>
      <c r="P2429" s="62"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1"/>
      <c r="B2430" s="40" t="s">
        <v>203</v>
      </c>
      <c r="C2430" s="70">
        <v>45862</v>
      </c>
      <c r="D2430" s="40" t="str">
        <f>VLOOKUP(B2430,辅助信息!E:K,7,FALSE)</f>
        <v>JWDDCD2025102100479</v>
      </c>
      <c r="E2430" s="40" t="str">
        <f>VLOOKUP(F2430,辅助信息!A:B,2,FALSE)</f>
        <v>盘螺</v>
      </c>
      <c r="F2430" s="40" t="s">
        <v>41</v>
      </c>
      <c r="G2430" s="36">
        <v>2</v>
      </c>
      <c r="H2430" s="134"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0"/>
      <c r="O2430" s="62" t="str">
        <f ca="1" t="shared" si="155"/>
        <v/>
      </c>
      <c r="P2430" s="62"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1"/>
      <c r="B2431" s="40" t="s">
        <v>203</v>
      </c>
      <c r="C2431" s="70">
        <v>45862</v>
      </c>
      <c r="D2431" s="40" t="str">
        <f>VLOOKUP(B2431,辅助信息!E:K,7,FALSE)</f>
        <v>JWDDCD2025102100479</v>
      </c>
      <c r="E2431" s="40" t="str">
        <f>VLOOKUP(F2431,辅助信息!A:B,2,FALSE)</f>
        <v>螺纹钢</v>
      </c>
      <c r="F2431" s="40" t="s">
        <v>27</v>
      </c>
      <c r="G2431" s="36">
        <v>3</v>
      </c>
      <c r="H2431" s="134"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0"/>
      <c r="O2431" s="62" t="str">
        <f ca="1" t="shared" si="155"/>
        <v/>
      </c>
      <c r="P2431" s="62"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1"/>
      <c r="B2432" s="40" t="s">
        <v>203</v>
      </c>
      <c r="C2432" s="70">
        <v>45862</v>
      </c>
      <c r="D2432" s="40" t="str">
        <f>VLOOKUP(B2432,辅助信息!E:K,7,FALSE)</f>
        <v>JWDDCD2025102100479</v>
      </c>
      <c r="E2432" s="40" t="str">
        <f>VLOOKUP(F2432,辅助信息!A:B,2,FALSE)</f>
        <v>螺纹钢</v>
      </c>
      <c r="F2432" s="40" t="s">
        <v>19</v>
      </c>
      <c r="G2432" s="36">
        <v>6</v>
      </c>
      <c r="H2432" s="134"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0"/>
      <c r="O2432" s="62" t="str">
        <f ca="1" t="shared" si="155"/>
        <v/>
      </c>
      <c r="P2432" s="62"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1"/>
      <c r="B2433" s="40" t="s">
        <v>203</v>
      </c>
      <c r="C2433" s="70">
        <v>45862</v>
      </c>
      <c r="D2433" s="40" t="str">
        <f>VLOOKUP(B2433,辅助信息!E:K,7,FALSE)</f>
        <v>JWDDCD2025102100479</v>
      </c>
      <c r="E2433" s="40" t="str">
        <f>VLOOKUP(F2433,辅助信息!A:B,2,FALSE)</f>
        <v>螺纹钢</v>
      </c>
      <c r="F2433" s="40" t="s">
        <v>32</v>
      </c>
      <c r="G2433" s="36">
        <v>3</v>
      </c>
      <c r="H2433" s="134"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0"/>
      <c r="O2433" s="62" t="str">
        <f ca="1" t="shared" si="155"/>
        <v/>
      </c>
      <c r="P2433" s="62"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1"/>
      <c r="B2434" s="40" t="s">
        <v>203</v>
      </c>
      <c r="C2434" s="70">
        <v>45862</v>
      </c>
      <c r="D2434" s="40" t="str">
        <f>VLOOKUP(B2434,辅助信息!E:K,7,FALSE)</f>
        <v>JWDDCD2025102100479</v>
      </c>
      <c r="E2434" s="40" t="str">
        <f>VLOOKUP(F2434,辅助信息!A:B,2,FALSE)</f>
        <v>螺纹钢</v>
      </c>
      <c r="F2434" s="40" t="s">
        <v>30</v>
      </c>
      <c r="G2434" s="36">
        <v>3</v>
      </c>
      <c r="H2434" s="134"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0"/>
      <c r="O2434" s="62" t="str">
        <f ca="1" t="shared" si="155"/>
        <v/>
      </c>
      <c r="P2434" s="62"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1"/>
      <c r="B2435" s="40" t="s">
        <v>203</v>
      </c>
      <c r="C2435" s="70">
        <v>45862</v>
      </c>
      <c r="D2435" s="40" t="str">
        <f>VLOOKUP(B2435,辅助信息!E:K,7,FALSE)</f>
        <v>JWDDCD2025102100479</v>
      </c>
      <c r="E2435" s="40" t="str">
        <f>VLOOKUP(F2435,辅助信息!A:B,2,FALSE)</f>
        <v>螺纹钢</v>
      </c>
      <c r="F2435" s="40" t="s">
        <v>33</v>
      </c>
      <c r="G2435" s="36">
        <v>3</v>
      </c>
      <c r="H2435" s="134"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0"/>
      <c r="O2435" s="62" t="str">
        <f ca="1" t="shared" si="155"/>
        <v/>
      </c>
      <c r="P2435" s="62"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1"/>
      <c r="B2436" s="40" t="s">
        <v>203</v>
      </c>
      <c r="C2436" s="70">
        <v>45862</v>
      </c>
      <c r="D2436" s="40" t="str">
        <f>VLOOKUP(B2436,辅助信息!E:K,7,FALSE)</f>
        <v>JWDDCD2025102100479</v>
      </c>
      <c r="E2436" s="40" t="str">
        <f>VLOOKUP(F2436,辅助信息!A:B,2,FALSE)</f>
        <v>螺纹钢</v>
      </c>
      <c r="F2436" s="40" t="s">
        <v>28</v>
      </c>
      <c r="G2436" s="36">
        <v>3</v>
      </c>
      <c r="H2436" s="134"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0"/>
      <c r="O2436" s="62" t="str">
        <f ca="1" t="shared" si="155"/>
        <v/>
      </c>
      <c r="P2436" s="62"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1"/>
      <c r="B2437" s="40" t="s">
        <v>203</v>
      </c>
      <c r="C2437" s="70">
        <v>45862</v>
      </c>
      <c r="D2437" s="40" t="str">
        <f>VLOOKUP(B2437,辅助信息!E:K,7,FALSE)</f>
        <v>JWDDCD2025102100479</v>
      </c>
      <c r="E2437" s="40" t="str">
        <f>VLOOKUP(F2437,辅助信息!A:B,2,FALSE)</f>
        <v>螺纹钢</v>
      </c>
      <c r="F2437" s="40" t="s">
        <v>18</v>
      </c>
      <c r="G2437" s="36">
        <v>11</v>
      </c>
      <c r="H2437" s="134"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5"/>
      <c r="O2437" s="62" t="str">
        <f ca="1" t="shared" si="155"/>
        <v/>
      </c>
      <c r="P2437" s="62"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0" t="s">
        <v>194</v>
      </c>
      <c r="C2438" s="70">
        <v>45862</v>
      </c>
      <c r="D2438" s="120" t="str">
        <f>VLOOKUP(B2438,辅助信息!E:K,7,FALSE)</f>
        <v>JWDD2025071500089</v>
      </c>
      <c r="E2438" s="120" t="str">
        <f>VLOOKUP(F2438,辅助信息!A:B,2,FALSE)</f>
        <v>螺纹钢</v>
      </c>
      <c r="F2438" s="120" t="s">
        <v>30</v>
      </c>
      <c r="G2438" s="121">
        <v>35</v>
      </c>
      <c r="H2438" s="134" t="str">
        <f>_xlfn.XLOOKUP(C2438&amp;F2438&amp;I2438&amp;J2438,'[1]2025年已发货'!$F:$F&amp;'[1]2025年已发货'!$C:$C&amp;'[1]2025年已发货'!$G:$G&amp;'[1]2025年已发货'!$H:$H,'[1]2025年已发货'!$E:$E,"未发货")</f>
        <v>未发货</v>
      </c>
      <c r="I2438" s="120" t="str">
        <f>VLOOKUP(B2438,辅助信息!E:I,3,FALSE)</f>
        <v>(宜宾兴港三江新区长江工业园保障性租赁住房建设项目-土建)四川省宜宾市翠屏区永善路南段宜宾市三江新区长江工业园区</v>
      </c>
      <c r="J2438" s="120" t="str">
        <f>VLOOKUP(B2438,辅助信息!E:I,4,FALSE)</f>
        <v>赵元虎</v>
      </c>
      <c r="K2438" s="120">
        <f>VLOOKUP(J2438,辅助信息!H:I,2,FALSE)</f>
        <v>13684167136</v>
      </c>
      <c r="L2438" s="122" t="str">
        <f>VLOOKUP(B2438,辅助信息!E:J,6,FALSE)</f>
        <v>现场要求调度统一联系指定收货人，不单独发司机位置。锈货不收，装货前联系收货人核实到场规格,没提前告知进场规格现场不给予接收</v>
      </c>
      <c r="M2438" s="91">
        <v>45863</v>
      </c>
      <c r="O2438" s="62">
        <f ca="1" t="shared" si="155"/>
        <v>0</v>
      </c>
      <c r="P2438" s="62">
        <f ca="1" t="shared" si="156"/>
        <v>97</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0">
        <v>45862</v>
      </c>
      <c r="D2439" s="40" t="str">
        <f>VLOOKUP(B2439,辅助信息!E:K,7,FALSE)</f>
        <v>JWDDCD2025052800131</v>
      </c>
      <c r="E2439" s="40" t="str">
        <f>VLOOKUP(F2439,辅助信息!A:B,2,FALSE)</f>
        <v>盘螺</v>
      </c>
      <c r="F2439" s="40" t="s">
        <v>41</v>
      </c>
      <c r="G2439" s="36">
        <v>24</v>
      </c>
      <c r="H2439" s="134">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09" t="str">
        <f>VLOOKUP(B2439,辅助信息!E:J,6,FALSE)</f>
        <v>控制炉批号！多了现场不收！,优先安排达钢,提前联系到场规格及数量</v>
      </c>
      <c r="O2439" s="62" t="str">
        <f ca="1" t="shared" si="155"/>
        <v/>
      </c>
      <c r="P2439" s="62"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0">
        <v>45862</v>
      </c>
      <c r="D2440" s="40" t="str">
        <f>VLOOKUP(B2440,辅助信息!E:K,7,FALSE)</f>
        <v>JWDDCD2025052800131</v>
      </c>
      <c r="E2440" s="40" t="str">
        <f>VLOOKUP(F2440,辅助信息!A:B,2,FALSE)</f>
        <v>螺纹钢</v>
      </c>
      <c r="F2440" s="40" t="s">
        <v>32</v>
      </c>
      <c r="G2440" s="36">
        <v>9</v>
      </c>
      <c r="H2440" s="134">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09" t="str">
        <f>VLOOKUP(B2440,辅助信息!E:J,6,FALSE)</f>
        <v>控制炉批号！多了现场不收！,优先安排达钢,提前联系到场规格及数量</v>
      </c>
      <c r="O2440" s="62" t="str">
        <f ca="1" t="shared" si="155"/>
        <v/>
      </c>
      <c r="P2440" s="62"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0">
        <v>45862</v>
      </c>
      <c r="D2441" s="40" t="str">
        <f>VLOOKUP(B2441,辅助信息!E:K,7,FALSE)</f>
        <v>JWDDCD2025052800131</v>
      </c>
      <c r="E2441" s="40" t="str">
        <f>VLOOKUP(F2441,辅助信息!A:B,2,FALSE)</f>
        <v>螺纹钢</v>
      </c>
      <c r="F2441" s="40" t="s">
        <v>33</v>
      </c>
      <c r="G2441" s="36">
        <v>6</v>
      </c>
      <c r="H2441" s="134">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09" t="str">
        <f>VLOOKUP(B2441,辅助信息!E:J,6,FALSE)</f>
        <v>控制炉批号！多了现场不收！,优先安排达钢,提前联系到场规格及数量</v>
      </c>
      <c r="O2441" s="62" t="str">
        <f ca="1" t="shared" si="155"/>
        <v/>
      </c>
      <c r="P2441" s="62"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0">
        <v>45862</v>
      </c>
      <c r="D2442" s="40" t="str">
        <f>VLOOKUP(B2442,辅助信息!E:K,7,FALSE)</f>
        <v>JWDDCD2025052800131</v>
      </c>
      <c r="E2442" s="40" t="str">
        <f>VLOOKUP(F2442,辅助信息!A:B,2,FALSE)</f>
        <v>螺纹钢</v>
      </c>
      <c r="F2442" s="40" t="s">
        <v>18</v>
      </c>
      <c r="G2442" s="36">
        <v>6</v>
      </c>
      <c r="H2442" s="134">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09" t="str">
        <f>VLOOKUP(B2442,辅助信息!E:J,6,FALSE)</f>
        <v>控制炉批号！多了现场不收！,优先安排达钢,提前联系到场规格及数量</v>
      </c>
      <c r="O2442" s="62" t="str">
        <f ca="1" t="shared" si="155"/>
        <v/>
      </c>
      <c r="P2442" s="62"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0">
        <v>45864</v>
      </c>
      <c r="D2443" s="40" t="str">
        <f>VLOOKUP(B2443,辅助信息!E:K,7,FALSE)</f>
        <v>JWDDCD2025060900080</v>
      </c>
      <c r="E2443" s="40" t="str">
        <f>VLOOKUP(F2443,辅助信息!A:B,2,FALSE)</f>
        <v>盘螺</v>
      </c>
      <c r="F2443" s="40" t="s">
        <v>49</v>
      </c>
      <c r="G2443" s="36">
        <v>2</v>
      </c>
      <c r="H2443" s="134">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09" t="str">
        <f>VLOOKUP(B2443,辅助信息!E:J,6,FALSE)</f>
        <v>现场禁止使用氢能源挂车！优先威钢发货,我方卸车,新老国标钢厂不加价可直发，因陕钢多次出现磅差，项目拒绝使用</v>
      </c>
      <c r="O2443" s="62" t="str">
        <f ca="1" t="shared" si="155"/>
        <v/>
      </c>
      <c r="P2443" s="62"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0">
        <v>45864</v>
      </c>
      <c r="D2444" s="40" t="str">
        <f>VLOOKUP(B2444,辅助信息!E:K,7,FALSE)</f>
        <v>JWDDCD2025060900080</v>
      </c>
      <c r="E2444" s="40" t="str">
        <f>VLOOKUP(F2444,辅助信息!A:B,2,FALSE)</f>
        <v>盘螺</v>
      </c>
      <c r="F2444" s="40" t="s">
        <v>40</v>
      </c>
      <c r="G2444" s="36">
        <v>14.5</v>
      </c>
      <c r="H2444" s="134">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09" t="str">
        <f>VLOOKUP(B2444,辅助信息!E:J,6,FALSE)</f>
        <v>现场禁止使用氢能源挂车！优先威钢发货,我方卸车,新老国标钢厂不加价可直发，因陕钢多次出现磅差，项目拒绝使用</v>
      </c>
      <c r="O2444" s="62" t="str">
        <f ca="1" t="shared" si="155"/>
        <v/>
      </c>
      <c r="P2444" s="62"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0">
        <v>45864</v>
      </c>
      <c r="D2445" s="40" t="str">
        <f>VLOOKUP(B2445,辅助信息!E:K,7,FALSE)</f>
        <v>JWDDCD2025060900080</v>
      </c>
      <c r="E2445" s="40" t="str">
        <f>VLOOKUP(F2445,辅助信息!A:B,2,FALSE)</f>
        <v>盘螺</v>
      </c>
      <c r="F2445" s="40" t="s">
        <v>41</v>
      </c>
      <c r="G2445" s="36">
        <v>94</v>
      </c>
      <c r="H2445" s="134">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09" t="str">
        <f>VLOOKUP(B2445,辅助信息!E:J,6,FALSE)</f>
        <v>现场禁止使用氢能源挂车！优先威钢发货,我方卸车,新老国标钢厂不加价可直发，因陕钢多次出现磅差，项目拒绝使用</v>
      </c>
      <c r="O2445" s="62" t="str">
        <f ca="1" t="shared" si="155"/>
        <v/>
      </c>
      <c r="P2445" s="62"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0">
        <v>45864</v>
      </c>
      <c r="D2446" s="40" t="str">
        <f>VLOOKUP(B2446,辅助信息!E:K,7,FALSE)</f>
        <v>JWDDCD2025060900080</v>
      </c>
      <c r="E2446" s="40" t="str">
        <f>VLOOKUP(F2446,辅助信息!A:B,2,FALSE)</f>
        <v>盘螺</v>
      </c>
      <c r="F2446" s="40" t="s">
        <v>26</v>
      </c>
      <c r="G2446" s="36">
        <v>12</v>
      </c>
      <c r="H2446" s="134">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09" t="str">
        <f>VLOOKUP(B2446,辅助信息!E:J,6,FALSE)</f>
        <v>现场禁止使用氢能源挂车！优先威钢发货,我方卸车,新老国标钢厂不加价可直发，因陕钢多次出现磅差，项目拒绝使用</v>
      </c>
      <c r="O2446" s="62" t="str">
        <f ca="1" t="shared" si="155"/>
        <v/>
      </c>
      <c r="P2446" s="62"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0">
        <v>45864</v>
      </c>
      <c r="D2447" s="40" t="str">
        <f>VLOOKUP(B2447,辅助信息!E:K,7,FALSE)</f>
        <v>JWDDCD2025060900080</v>
      </c>
      <c r="E2447" s="40" t="str">
        <f>VLOOKUP(F2447,辅助信息!A:B,2,FALSE)</f>
        <v>螺纹钢</v>
      </c>
      <c r="F2447" s="40" t="s">
        <v>19</v>
      </c>
      <c r="G2447" s="36">
        <v>26</v>
      </c>
      <c r="H2447" s="134">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09" t="str">
        <f>VLOOKUP(B2447,辅助信息!E:J,6,FALSE)</f>
        <v>现场禁止使用氢能源挂车！优先威钢发货,我方卸车,新老国标钢厂不加价可直发，因陕钢多次出现磅差，项目拒绝使用</v>
      </c>
      <c r="O2447" s="62" t="str">
        <f ca="1" t="shared" si="155"/>
        <v/>
      </c>
      <c r="P2447" s="62"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0">
        <v>45864</v>
      </c>
      <c r="D2448" s="40" t="str">
        <f>VLOOKUP(B2448,辅助信息!E:K,7,FALSE)</f>
        <v>JWDDCD2025060900080</v>
      </c>
      <c r="E2448" s="40" t="str">
        <f>VLOOKUP(F2448,辅助信息!A:B,2,FALSE)</f>
        <v>螺纹钢</v>
      </c>
      <c r="F2448" s="40" t="s">
        <v>32</v>
      </c>
      <c r="G2448" s="36">
        <v>17</v>
      </c>
      <c r="H2448" s="134">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09" t="str">
        <f>VLOOKUP(B2448,辅助信息!E:J,6,FALSE)</f>
        <v>现场禁止使用氢能源挂车！优先威钢发货,我方卸车,新老国标钢厂不加价可直发，因陕钢多次出现磅差，项目拒绝使用</v>
      </c>
      <c r="O2448" s="62" t="str">
        <f ca="1" t="shared" si="155"/>
        <v/>
      </c>
      <c r="P2448" s="62"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0">
        <v>45864</v>
      </c>
      <c r="D2449" s="40" t="str">
        <f>VLOOKUP(B2449,辅助信息!E:K,7,FALSE)</f>
        <v>JWDDCD2025060900080</v>
      </c>
      <c r="E2449" s="40" t="str">
        <f>VLOOKUP(F2449,辅助信息!A:B,2,FALSE)</f>
        <v>螺纹钢</v>
      </c>
      <c r="F2449" s="40" t="s">
        <v>30</v>
      </c>
      <c r="G2449" s="36">
        <v>5</v>
      </c>
      <c r="H2449" s="134">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09" t="str">
        <f>VLOOKUP(B2449,辅助信息!E:J,6,FALSE)</f>
        <v>现场禁止使用氢能源挂车！优先威钢发货,我方卸车,新老国标钢厂不加价可直发，因陕钢多次出现磅差，项目拒绝使用</v>
      </c>
      <c r="O2449" s="62" t="str">
        <f ca="1" t="shared" si="155"/>
        <v/>
      </c>
      <c r="P2449" s="62"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0">
        <v>45864</v>
      </c>
      <c r="D2450" s="40" t="str">
        <f>VLOOKUP(B2450,辅助信息!E:K,7,FALSE)</f>
        <v>JWDDCD2025060900080</v>
      </c>
      <c r="E2450" s="40" t="str">
        <f>VLOOKUP(F2450,辅助信息!A:B,2,FALSE)</f>
        <v>螺纹钢</v>
      </c>
      <c r="F2450" s="40" t="s">
        <v>45</v>
      </c>
      <c r="G2450" s="36">
        <v>2.5</v>
      </c>
      <c r="H2450" s="134">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09" t="str">
        <f>VLOOKUP(B2450,辅助信息!E:J,6,FALSE)</f>
        <v>现场禁止使用氢能源挂车！优先威钢发货,我方卸车,新老国标钢厂不加价可直发，因陕钢多次出现磅差，项目拒绝使用</v>
      </c>
      <c r="O2450" s="62" t="str">
        <f ca="1" t="shared" si="155"/>
        <v/>
      </c>
      <c r="P2450" s="62"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0">
        <v>45864</v>
      </c>
      <c r="D2451" s="40" t="str">
        <f>VLOOKUP(B2451,辅助信息!E:K,7,FALSE)</f>
        <v>JWDDCD2025060900080</v>
      </c>
      <c r="E2451" s="40" t="str">
        <f>VLOOKUP(F2451,辅助信息!A:B,2,FALSE)</f>
        <v>螺纹钢</v>
      </c>
      <c r="F2451" s="40" t="s">
        <v>58</v>
      </c>
      <c r="G2451" s="36">
        <v>16</v>
      </c>
      <c r="H2451" s="134">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09" t="str">
        <f>VLOOKUP(B2451,辅助信息!E:J,6,FALSE)</f>
        <v>现场禁止使用氢能源挂车！优先威钢发货,我方卸车,新老国标钢厂不加价可直发，因陕钢多次出现磅差，项目拒绝使用</v>
      </c>
      <c r="O2451" s="62" t="str">
        <f ca="1" t="shared" si="155"/>
        <v/>
      </c>
      <c r="P2451" s="62"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0">
        <v>45864</v>
      </c>
      <c r="D2452" s="40" t="str">
        <f>VLOOKUP(B2452,辅助信息!E:K,7,FALSE)</f>
        <v>JWDDCD2025060900080</v>
      </c>
      <c r="E2452" s="40" t="str">
        <f>VLOOKUP(F2452,辅助信息!A:B,2,FALSE)</f>
        <v>螺纹钢</v>
      </c>
      <c r="F2452" s="40" t="s">
        <v>46</v>
      </c>
      <c r="G2452" s="36">
        <v>5.5</v>
      </c>
      <c r="H2452" s="134">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09" t="str">
        <f>VLOOKUP(B2452,辅助信息!E:J,6,FALSE)</f>
        <v>现场禁止使用氢能源挂车！优先威钢发货,我方卸车,新老国标钢厂不加价可直发，因陕钢多次出现磅差，项目拒绝使用</v>
      </c>
      <c r="O2452" s="62" t="str">
        <f ca="1" t="shared" si="155"/>
        <v/>
      </c>
      <c r="P2452" s="62"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0">
        <v>45864</v>
      </c>
      <c r="D2453" s="40" t="str">
        <f>VLOOKUP(B2453,辅助信息!E:K,7,FALSE)</f>
        <v>JWDDCD2025060900080</v>
      </c>
      <c r="E2453" s="40" t="str">
        <f>VLOOKUP(F2453,辅助信息!A:B,2,FALSE)</f>
        <v>螺纹钢</v>
      </c>
      <c r="F2453" s="40" t="s">
        <v>22</v>
      </c>
      <c r="G2453" s="36">
        <v>48</v>
      </c>
      <c r="H2453" s="134">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09" t="str">
        <f>VLOOKUP(B2453,辅助信息!E:J,6,FALSE)</f>
        <v>现场禁止使用氢能源挂车！优先威钢发货,我方卸车,新老国标钢厂不加价可直发，因陕钢多次出现磅差，项目拒绝使用</v>
      </c>
      <c r="O2453" s="62" t="str">
        <f ca="1" t="shared" si="155"/>
        <v/>
      </c>
      <c r="P2453" s="62"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0">
        <v>45863</v>
      </c>
      <c r="D2454" s="40" t="str">
        <f>VLOOKUP(B2454,辅助信息!E:K,7,FALSE)</f>
        <v>JWDDCD2025072900123</v>
      </c>
      <c r="E2454" s="40" t="str">
        <f>VLOOKUP(F2454,辅助信息!A:B,2,FALSE)</f>
        <v>高线</v>
      </c>
      <c r="F2454" s="40" t="s">
        <v>57</v>
      </c>
      <c r="G2454" s="36">
        <v>2.5</v>
      </c>
      <c r="H2454" s="134">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09" t="str">
        <f>VLOOKUP(B2454,辅助信息!E:J,6,FALSE)</f>
        <v>联系实际收货人（彭江涛13990276572）现场要求炉批号控制2个以下，超2个不给予签收。提前联系到场规格及数量</v>
      </c>
      <c r="O2454" s="62" t="str">
        <f ca="1" t="shared" si="155"/>
        <v/>
      </c>
      <c r="P2454" s="62"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0">
        <v>45863</v>
      </c>
      <c r="D2455" s="40" t="str">
        <f>VLOOKUP(B2455,辅助信息!E:K,7,FALSE)</f>
        <v>JWDDCD2025072900123</v>
      </c>
      <c r="E2455" s="40" t="str">
        <f>VLOOKUP(F2455,辅助信息!A:B,2,FALSE)</f>
        <v>高线</v>
      </c>
      <c r="F2455" s="40" t="s">
        <v>53</v>
      </c>
      <c r="G2455" s="36">
        <v>13.5</v>
      </c>
      <c r="H2455" s="134">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09" t="str">
        <f>VLOOKUP(B2455,辅助信息!E:J,6,FALSE)</f>
        <v>联系实际收货人（彭江涛13990276572）现场要求炉批号控制2个以下，超2个不给予签收。提前联系到场规格及数量</v>
      </c>
      <c r="O2455" s="62" t="str">
        <f ca="1" t="shared" si="155"/>
        <v/>
      </c>
      <c r="P2455" s="62"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0">
        <v>45863</v>
      </c>
      <c r="D2456" s="40" t="str">
        <f>VLOOKUP(B2456,辅助信息!E:K,7,FALSE)</f>
        <v>JWDDCD2025072900123</v>
      </c>
      <c r="E2456" s="40" t="str">
        <f>VLOOKUP(F2456,辅助信息!A:B,2,FALSE)</f>
        <v>盘螺</v>
      </c>
      <c r="F2456" s="40" t="s">
        <v>41</v>
      </c>
      <c r="G2456" s="36">
        <v>22.5</v>
      </c>
      <c r="H2456" s="134">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09" t="str">
        <f>VLOOKUP(B2456,辅助信息!E:J,6,FALSE)</f>
        <v>联系实际收货人（彭江涛13990276572）现场要求炉批号控制2个以下，超2个不给予签收。提前联系到场规格及数量</v>
      </c>
      <c r="O2456" s="62" t="str">
        <f ca="1" t="shared" si="155"/>
        <v/>
      </c>
      <c r="P2456" s="62"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0">
        <v>45863</v>
      </c>
      <c r="D2457" s="40" t="str">
        <f>VLOOKUP(B2457,辅助信息!E:K,7,FALSE)</f>
        <v>JWDDCD2025072900123</v>
      </c>
      <c r="E2457" s="40" t="str">
        <f>VLOOKUP(F2457,辅助信息!A:B,2,FALSE)</f>
        <v>盘螺</v>
      </c>
      <c r="F2457" s="40" t="s">
        <v>26</v>
      </c>
      <c r="G2457" s="36">
        <v>30</v>
      </c>
      <c r="H2457" s="134">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09" t="str">
        <f>VLOOKUP(B2457,辅助信息!E:J,6,FALSE)</f>
        <v>联系实际收货人（彭江涛13990276572）现场要求炉批号控制2个以下，超2个不给予签收。提前联系到场规格及数量</v>
      </c>
      <c r="O2457" s="62" t="str">
        <f ca="1" t="shared" si="155"/>
        <v/>
      </c>
      <c r="P2457" s="62"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0">
        <v>45863</v>
      </c>
      <c r="D2458" s="40" t="str">
        <f>VLOOKUP(B2458,辅助信息!E:K,7,FALSE)</f>
        <v>JWDDCD2025072900123</v>
      </c>
      <c r="E2458" s="40" t="str">
        <f>VLOOKUP(F2458,辅助信息!A:B,2,FALSE)</f>
        <v>盘螺</v>
      </c>
      <c r="F2458" s="40" t="s">
        <v>40</v>
      </c>
      <c r="G2458" s="36">
        <v>15</v>
      </c>
      <c r="H2458" s="134">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09" t="str">
        <f>VLOOKUP(B2458,辅助信息!E:J,6,FALSE)</f>
        <v>联系实际收货人（彭江涛13990276572）现场要求炉批号控制2个以下，超2个不给予签收。提前联系到场规格及数量</v>
      </c>
      <c r="O2458" s="62" t="str">
        <f ca="1" t="shared" si="155"/>
        <v/>
      </c>
      <c r="P2458" s="62"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0">
        <v>45863</v>
      </c>
      <c r="D2459" s="40" t="str">
        <f>VLOOKUP(B2459,辅助信息!E:K,7,FALSE)</f>
        <v>JWDDCD2025072900123</v>
      </c>
      <c r="E2459" s="40" t="str">
        <f>VLOOKUP(F2459,辅助信息!A:B,2,FALSE)</f>
        <v>螺纹钢</v>
      </c>
      <c r="F2459" s="40" t="s">
        <v>32</v>
      </c>
      <c r="G2459" s="36">
        <v>3</v>
      </c>
      <c r="H2459" s="134">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09" t="str">
        <f>VLOOKUP(B2459,辅助信息!E:J,6,FALSE)</f>
        <v>联系实际收货人（彭江涛13990276572）现场要求炉批号控制2个以下，超2个不给予签收。提前联系到场规格及数量</v>
      </c>
      <c r="O2459" s="62" t="str">
        <f ca="1" t="shared" si="155"/>
        <v/>
      </c>
      <c r="P2459" s="62"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0">
        <v>45863</v>
      </c>
      <c r="D2460" s="40" t="str">
        <f>VLOOKUP(B2460,辅助信息!E:K,7,FALSE)</f>
        <v>JWDDCD2025072900123</v>
      </c>
      <c r="E2460" s="40" t="str">
        <f>VLOOKUP(F2460,辅助信息!A:B,2,FALSE)</f>
        <v>螺纹钢</v>
      </c>
      <c r="F2460" s="40" t="s">
        <v>30</v>
      </c>
      <c r="G2460" s="36">
        <v>27</v>
      </c>
      <c r="H2460" s="134">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09" t="str">
        <f>VLOOKUP(B2460,辅助信息!E:J,6,FALSE)</f>
        <v>联系实际收货人（彭江涛13990276572）现场要求炉批号控制2个以下，超2个不给予签收。提前联系到场规格及数量</v>
      </c>
      <c r="O2460" s="62" t="str">
        <f ca="1" t="shared" si="155"/>
        <v/>
      </c>
      <c r="P2460" s="62"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0">
        <v>45863</v>
      </c>
      <c r="D2461" s="40" t="str">
        <f>VLOOKUP(B2461,辅助信息!E:K,7,FALSE)</f>
        <v>JWDDCD2025072900123</v>
      </c>
      <c r="E2461" s="40" t="str">
        <f>VLOOKUP(F2461,辅助信息!A:B,2,FALSE)</f>
        <v>螺纹钢</v>
      </c>
      <c r="F2461" s="40" t="s">
        <v>76</v>
      </c>
      <c r="G2461" s="36">
        <v>48</v>
      </c>
      <c r="H2461" s="134">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09" t="str">
        <f>VLOOKUP(B2461,辅助信息!E:J,6,FALSE)</f>
        <v>联系实际收货人（彭江涛13990276572）现场要求炉批号控制2个以下，超2个不给予签收。提前联系到场规格及数量</v>
      </c>
      <c r="O2461" s="62" t="str">
        <f ca="1" t="shared" ref="O2461:O2524" si="157">IF(OR(M2461="",N2461&lt;&gt;""),"",MAX(M2461-TODAY(),0))</f>
        <v/>
      </c>
      <c r="P2461" s="62"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0">
        <v>45863</v>
      </c>
      <c r="D2462" s="40" t="str">
        <f>VLOOKUP(B2462,辅助信息!E:K,7,FALSE)</f>
        <v>JWDDCD2025072900123</v>
      </c>
      <c r="E2462" s="40" t="str">
        <f>VLOOKUP(F2462,辅助信息!A:B,2,FALSE)</f>
        <v>螺纹钢</v>
      </c>
      <c r="F2462" s="40" t="s">
        <v>90</v>
      </c>
      <c r="G2462" s="36">
        <v>88</v>
      </c>
      <c r="H2462" s="134">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09" t="str">
        <f>VLOOKUP(B2462,辅助信息!E:J,6,FALSE)</f>
        <v>联系实际收货人（彭江涛13990276572）现场要求炉批号控制2个以下，超2个不给予签收。提前联系到场规格及数量</v>
      </c>
      <c r="O2462" s="62" t="str">
        <f ca="1" t="shared" si="157"/>
        <v/>
      </c>
      <c r="P2462" s="62"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0">
        <v>45863</v>
      </c>
      <c r="D2463" s="40" t="str">
        <f>VLOOKUP(B2463,辅助信息!E:K,7,FALSE)</f>
        <v>JWDDCD2025072900123</v>
      </c>
      <c r="E2463" s="40" t="str">
        <f>VLOOKUP(F2463,辅助信息!A:B,2,FALSE)</f>
        <v>螺纹钢</v>
      </c>
      <c r="F2463" s="40" t="s">
        <v>130</v>
      </c>
      <c r="G2463" s="36">
        <v>41</v>
      </c>
      <c r="H2463" s="134">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09" t="str">
        <f>VLOOKUP(B2463,辅助信息!E:J,6,FALSE)</f>
        <v>联系实际收货人（彭江涛13990276572）现场要求炉批号控制2个以下，超2个不给予签收。提前联系到场规格及数量</v>
      </c>
      <c r="O2463" s="62" t="str">
        <f ca="1" t="shared" si="157"/>
        <v/>
      </c>
      <c r="P2463" s="62"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0">
        <v>45863</v>
      </c>
      <c r="D2464" s="40" t="str">
        <f>VLOOKUP(B2464,辅助信息!E:K,7,FALSE)</f>
        <v>JWDDCD2025072900123</v>
      </c>
      <c r="E2464" s="40" t="str">
        <f>VLOOKUP(F2464,辅助信息!A:B,2,FALSE)</f>
        <v>螺纹钢</v>
      </c>
      <c r="F2464" s="40" t="s">
        <v>138</v>
      </c>
      <c r="G2464" s="36">
        <v>40</v>
      </c>
      <c r="H2464" s="134">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09" t="str">
        <f>VLOOKUP(B2464,辅助信息!E:J,6,FALSE)</f>
        <v>联系实际收货人（彭江涛13990276572）现场要求炉批号控制2个以下，超2个不给予签收。提前联系到场规格及数量</v>
      </c>
      <c r="O2464" s="62" t="str">
        <f ca="1" t="shared" si="157"/>
        <v/>
      </c>
      <c r="P2464" s="62"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0">
        <v>45863</v>
      </c>
      <c r="D2465" s="40" t="str">
        <f>VLOOKUP(B2465,辅助信息!E:K,7,FALSE)</f>
        <v>JWDDCD2025072900123</v>
      </c>
      <c r="E2465" s="40" t="str">
        <f>VLOOKUP(F2465,辅助信息!A:B,2,FALSE)</f>
        <v>螺纹钢</v>
      </c>
      <c r="F2465" s="40" t="s">
        <v>133</v>
      </c>
      <c r="G2465" s="36">
        <v>74</v>
      </c>
      <c r="H2465" s="134">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09" t="str">
        <f>VLOOKUP(B2465,辅助信息!E:J,6,FALSE)</f>
        <v>联系实际收货人（彭江涛13990276572）现场要求炉批号控制2个以下，超2个不给予签收。提前联系到场规格及数量</v>
      </c>
      <c r="O2465" s="62" t="str">
        <f ca="1" t="shared" si="157"/>
        <v/>
      </c>
      <c r="P2465" s="62"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0">
        <v>45863</v>
      </c>
      <c r="D2466" s="40" t="str">
        <f>VLOOKUP(B2466,辅助信息!E:K,7,FALSE)</f>
        <v>JWDDCD2025072900123</v>
      </c>
      <c r="E2466" s="40" t="str">
        <f>VLOOKUP(F2466,辅助信息!A:B,2,FALSE)</f>
        <v>螺纹钢</v>
      </c>
      <c r="F2466" s="40" t="s">
        <v>91</v>
      </c>
      <c r="G2466" s="36">
        <v>108</v>
      </c>
      <c r="H2466" s="134">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09" t="str">
        <f>VLOOKUP(B2466,辅助信息!E:J,6,FALSE)</f>
        <v>联系实际收货人（彭江涛13990276572）现场要求炉批号控制2个以下，超2个不给予签收。提前联系到场规格及数量</v>
      </c>
      <c r="O2466" s="62" t="str">
        <f ca="1" t="shared" si="157"/>
        <v/>
      </c>
      <c r="P2466" s="62"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0">
        <v>45863</v>
      </c>
      <c r="D2467" s="40" t="str">
        <f>VLOOKUP(B2467,辅助信息!E:K,7,FALSE)</f>
        <v>JWDDCD2025072900123</v>
      </c>
      <c r="E2467" s="40" t="str">
        <f>VLOOKUP(F2467,辅助信息!A:B,2,FALSE)</f>
        <v>螺纹钢</v>
      </c>
      <c r="F2467" s="40" t="s">
        <v>77</v>
      </c>
      <c r="G2467" s="36">
        <v>22</v>
      </c>
      <c r="H2467" s="134">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09" t="str">
        <f>VLOOKUP(B2467,辅助信息!E:J,6,FALSE)</f>
        <v>联系实际收货人（彭江涛13990276572）现场要求炉批号控制2个以下，超2个不给予签收。提前联系到场规格及数量</v>
      </c>
      <c r="O2467" s="62" t="str">
        <f ca="1" t="shared" si="157"/>
        <v/>
      </c>
      <c r="P2467" s="62"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0">
        <v>45863</v>
      </c>
      <c r="D2468" s="40" t="str">
        <f>VLOOKUP(B2468,辅助信息!E:K,7,FALSE)</f>
        <v>JWDDCD2025072900123</v>
      </c>
      <c r="E2468" s="40" t="str">
        <f>VLOOKUP(F2468,辅助信息!A:B,2,FALSE)</f>
        <v>螺纹钢</v>
      </c>
      <c r="F2468" s="40" t="s">
        <v>140</v>
      </c>
      <c r="G2468" s="36">
        <v>6</v>
      </c>
      <c r="H2468" s="134">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09" t="str">
        <f>VLOOKUP(B2468,辅助信息!E:J,6,FALSE)</f>
        <v>联系实际收货人（彭江涛13990276572）现场要求炉批号控制2个以下，超2个不给予签收。提前联系到场规格及数量</v>
      </c>
      <c r="O2468" s="62" t="str">
        <f ca="1" t="shared" si="157"/>
        <v/>
      </c>
      <c r="P2468" s="62"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0">
        <v>45863</v>
      </c>
      <c r="D2469" s="40" t="str">
        <f>VLOOKUP(B2469,辅助信息!E:K,7,FALSE)</f>
        <v>JWDDCD2025072900123</v>
      </c>
      <c r="E2469" s="40" t="str">
        <f>VLOOKUP(F2469,辅助信息!A:B,2,FALSE)</f>
        <v>螺纹钢</v>
      </c>
      <c r="F2469" s="40" t="s">
        <v>197</v>
      </c>
      <c r="G2469" s="36">
        <v>6</v>
      </c>
      <c r="H2469" s="134">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09" t="str">
        <f>VLOOKUP(B2469,辅助信息!E:J,6,FALSE)</f>
        <v>联系实际收货人（彭江涛13990276572）现场要求炉批号控制2个以下，超2个不给予签收。提前联系到场规格及数量</v>
      </c>
      <c r="O2469" s="62" t="str">
        <f ca="1" t="shared" si="157"/>
        <v/>
      </c>
      <c r="P2469" s="62"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0">
        <v>45863</v>
      </c>
      <c r="D2470" s="40" t="str">
        <f>VLOOKUP(B2470,辅助信息!E:K,7,FALSE)</f>
        <v>JWDDCD2025072900123</v>
      </c>
      <c r="E2470" s="40" t="str">
        <f>VLOOKUP(F2470,辅助信息!A:B,2,FALSE)</f>
        <v>螺纹钢</v>
      </c>
      <c r="F2470" s="40" t="s">
        <v>198</v>
      </c>
      <c r="G2470" s="36">
        <v>10</v>
      </c>
      <c r="H2470" s="134">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09" t="str">
        <f>VLOOKUP(B2470,辅助信息!E:J,6,FALSE)</f>
        <v>联系实际收货人（彭江涛13990276572）现场要求炉批号控制2个以下，超2个不给予签收。提前联系到场规格及数量</v>
      </c>
      <c r="O2470" s="62" t="str">
        <f ca="1" t="shared" si="157"/>
        <v/>
      </c>
      <c r="P2470" s="62"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0">
        <v>45863</v>
      </c>
      <c r="D2471" s="40" t="str">
        <f>VLOOKUP(B2471,辅助信息!E:K,7,FALSE)</f>
        <v>JWDDCD2025072900123</v>
      </c>
      <c r="E2471" s="40" t="str">
        <f>VLOOKUP(F2471,辅助信息!A:B,2,FALSE)</f>
        <v>螺纹钢</v>
      </c>
      <c r="F2471" s="40" t="s">
        <v>199</v>
      </c>
      <c r="G2471" s="36">
        <v>10</v>
      </c>
      <c r="H2471" s="134">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09" t="str">
        <f>VLOOKUP(B2471,辅助信息!E:J,6,FALSE)</f>
        <v>联系实际收货人（彭江涛13990276572）现场要求炉批号控制2个以下，超2个不给予签收。提前联系到场规格及数量</v>
      </c>
      <c r="O2471" s="62" t="str">
        <f ca="1" t="shared" si="157"/>
        <v/>
      </c>
      <c r="P2471" s="62"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0">
        <v>45863</v>
      </c>
      <c r="D2472" s="40" t="str">
        <f>VLOOKUP(B2472,辅助信息!E:K,7,FALSE)</f>
        <v>JWDDCD2025072900123</v>
      </c>
      <c r="E2472" s="40" t="str">
        <f>VLOOKUP(F2472,辅助信息!A:B,2,FALSE)</f>
        <v>螺纹钢</v>
      </c>
      <c r="F2472" s="40" t="s">
        <v>142</v>
      </c>
      <c r="G2472" s="36">
        <v>45</v>
      </c>
      <c r="H2472" s="134">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09" t="str">
        <f>VLOOKUP(B2472,辅助信息!E:J,6,FALSE)</f>
        <v>联系实际收货人（彭江涛13990276572）现场要求炉批号控制2个以下，超2个不给予签收。提前联系到场规格及数量</v>
      </c>
      <c r="O2472" s="62" t="str">
        <f ca="1" t="shared" si="157"/>
        <v/>
      </c>
      <c r="P2472" s="62"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0">
        <v>45863</v>
      </c>
      <c r="D2473" s="40" t="str">
        <f>VLOOKUP(B2473,辅助信息!E:K,7,FALSE)</f>
        <v>JWDDCD2025072900123</v>
      </c>
      <c r="E2473" s="40" t="str">
        <f>VLOOKUP(F2473,辅助信息!A:B,2,FALSE)</f>
        <v>螺纹钢</v>
      </c>
      <c r="F2473" s="40" t="s">
        <v>200</v>
      </c>
      <c r="G2473" s="36">
        <v>30</v>
      </c>
      <c r="H2473" s="134">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09" t="str">
        <f>VLOOKUP(B2473,辅助信息!E:J,6,FALSE)</f>
        <v>联系实际收货人（彭江涛13990276572）现场要求炉批号控制2个以下，超2个不给予签收。提前联系到场规格及数量</v>
      </c>
      <c r="O2473" s="62" t="str">
        <f ca="1" t="shared" si="157"/>
        <v/>
      </c>
      <c r="P2473" s="62"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0">
        <v>45863</v>
      </c>
      <c r="D2474" s="40" t="str">
        <f>VLOOKUP(B2474,辅助信息!E:K,7,FALSE)</f>
        <v>JWDDCD2025072900123</v>
      </c>
      <c r="E2474" s="40" t="str">
        <f>VLOOKUP(F2474,辅助信息!A:B,2,FALSE)</f>
        <v>螺纹钢</v>
      </c>
      <c r="F2474" s="40" t="s">
        <v>201</v>
      </c>
      <c r="G2474" s="36">
        <v>30</v>
      </c>
      <c r="H2474" s="134">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09" t="str">
        <f>VLOOKUP(B2474,辅助信息!E:J,6,FALSE)</f>
        <v>联系实际收货人（彭江涛13990276572）现场要求炉批号控制2个以下，超2个不给予签收。提前联系到场规格及数量</v>
      </c>
      <c r="O2474" s="62" t="str">
        <f ca="1" t="shared" si="157"/>
        <v/>
      </c>
      <c r="P2474" s="62"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0">
        <v>45864</v>
      </c>
      <c r="D2475" s="40" t="str">
        <f>VLOOKUP(B2475,辅助信息!E:K,7,FALSE)</f>
        <v>JWDDCD2025102100473</v>
      </c>
      <c r="E2475" s="40" t="str">
        <f>VLOOKUP(F2475,辅助信息!A:B,2,FALSE)</f>
        <v>螺纹钢</v>
      </c>
      <c r="F2475" s="40" t="s">
        <v>27</v>
      </c>
      <c r="G2475" s="36">
        <v>30</v>
      </c>
      <c r="H2475" s="134">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09"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2" t="str">
        <f ca="1" t="shared" si="157"/>
        <v/>
      </c>
      <c r="P2475" s="62"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0">
        <v>45864</v>
      </c>
      <c r="D2476" s="40" t="str">
        <f>VLOOKUP(B2476,辅助信息!E:K,7,FALSE)</f>
        <v>JWDDCD2025102100473</v>
      </c>
      <c r="E2476" s="40" t="str">
        <f>VLOOKUP(F2476,辅助信息!A:B,2,FALSE)</f>
        <v>螺纹钢</v>
      </c>
      <c r="F2476" s="40" t="s">
        <v>19</v>
      </c>
      <c r="G2476" s="36">
        <v>25</v>
      </c>
      <c r="H2476" s="134">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09"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2" t="str">
        <f ca="1" t="shared" si="157"/>
        <v/>
      </c>
      <c r="P2476" s="62"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0">
        <v>45864</v>
      </c>
      <c r="D2477" s="40" t="str">
        <f>VLOOKUP(B2477,辅助信息!E:K,7,FALSE)</f>
        <v>JWDDCD2025102100473</v>
      </c>
      <c r="E2477" s="40" t="str">
        <f>VLOOKUP(F2477,辅助信息!A:B,2,FALSE)</f>
        <v>螺纹钢</v>
      </c>
      <c r="F2477" s="40" t="s">
        <v>32</v>
      </c>
      <c r="G2477" s="36">
        <v>20</v>
      </c>
      <c r="H2477" s="134">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09"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2" t="str">
        <f ca="1" t="shared" si="157"/>
        <v/>
      </c>
      <c r="P2477" s="62"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0">
        <v>45864</v>
      </c>
      <c r="D2478" s="40" t="str">
        <f>VLOOKUP(B2478,辅助信息!E:K,7,FALSE)</f>
        <v>JWDDCD2025102100473</v>
      </c>
      <c r="E2478" s="40" t="str">
        <f>VLOOKUP(F2478,辅助信息!A:B,2,FALSE)</f>
        <v>螺纹钢</v>
      </c>
      <c r="F2478" s="40" t="s">
        <v>30</v>
      </c>
      <c r="G2478" s="36">
        <v>30</v>
      </c>
      <c r="H2478" s="134">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09"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2" t="str">
        <f ca="1" t="shared" si="157"/>
        <v/>
      </c>
      <c r="P2478" s="62"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0">
        <v>45864</v>
      </c>
      <c r="D2479" s="40" t="str">
        <f>VLOOKUP(B2479,辅助信息!E:K,7,FALSE)</f>
        <v>JWDDCD2025102100473</v>
      </c>
      <c r="E2479" s="40" t="str">
        <f>VLOOKUP(F2479,辅助信息!A:B,2,FALSE)</f>
        <v>螺纹钢</v>
      </c>
      <c r="F2479" s="40" t="s">
        <v>33</v>
      </c>
      <c r="G2479" s="36">
        <v>20</v>
      </c>
      <c r="H2479" s="134">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09"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2" t="str">
        <f ca="1" t="shared" si="157"/>
        <v/>
      </c>
      <c r="P2479" s="62"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0">
        <v>45864</v>
      </c>
      <c r="D2480" s="40" t="str">
        <f>VLOOKUP(B2480,辅助信息!E:K,7,FALSE)</f>
        <v>JWDDCD2025102100473</v>
      </c>
      <c r="E2480" s="40" t="str">
        <f>VLOOKUP(F2480,辅助信息!A:B,2,FALSE)</f>
        <v>螺纹钢</v>
      </c>
      <c r="F2480" s="40" t="s">
        <v>28</v>
      </c>
      <c r="G2480" s="36">
        <v>40</v>
      </c>
      <c r="H2480" s="134">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09"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2" t="str">
        <f ca="1" t="shared" si="157"/>
        <v/>
      </c>
      <c r="P2480" s="62"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0">
        <v>45864</v>
      </c>
      <c r="D2481" s="40" t="str">
        <f>VLOOKUP(B2481,辅助信息!E:K,7,FALSE)</f>
        <v>JWDDCD2025102100473</v>
      </c>
      <c r="E2481" s="40" t="str">
        <f>VLOOKUP(F2481,辅助信息!A:B,2,FALSE)</f>
        <v>螺纹钢</v>
      </c>
      <c r="F2481" s="40" t="s">
        <v>46</v>
      </c>
      <c r="G2481" s="36">
        <v>10</v>
      </c>
      <c r="H2481" s="134">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09"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2" t="str">
        <f ca="1" t="shared" si="157"/>
        <v/>
      </c>
      <c r="P2481" s="62"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0">
        <v>45864</v>
      </c>
      <c r="D2482" s="40" t="str">
        <f>VLOOKUP(B2482,辅助信息!E:K,7,FALSE)</f>
        <v>JWDDCD2025102100473</v>
      </c>
      <c r="E2482" s="40" t="str">
        <f>VLOOKUP(F2482,辅助信息!A:B,2,FALSE)</f>
        <v>螺纹钢</v>
      </c>
      <c r="F2482" s="40" t="s">
        <v>22</v>
      </c>
      <c r="G2482" s="36">
        <v>50</v>
      </c>
      <c r="H2482" s="134">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09"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2" t="str">
        <f ca="1" t="shared" si="157"/>
        <v/>
      </c>
      <c r="P2482" s="62"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0">
        <v>45864</v>
      </c>
      <c r="D2483" s="40" t="str">
        <f>VLOOKUP(B2483,辅助信息!E:K,7,FALSE)</f>
        <v>JWDDCD2025102100473</v>
      </c>
      <c r="E2483" s="40" t="str">
        <f>VLOOKUP(F2483,辅助信息!A:B,2,FALSE)</f>
        <v>螺纹钢</v>
      </c>
      <c r="F2483" s="40" t="s">
        <v>182</v>
      </c>
      <c r="G2483" s="36">
        <v>5</v>
      </c>
      <c r="H2483" s="134">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09"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2" t="str">
        <f ca="1" t="shared" si="157"/>
        <v/>
      </c>
      <c r="P2483" s="62"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0">
        <v>45866</v>
      </c>
      <c r="D2484" s="40" t="str">
        <f>VLOOKUP(B2484,辅助信息!E:K,7,FALSE)</f>
        <v>JWDDCD2025102100473</v>
      </c>
      <c r="E2484" s="40" t="str">
        <f>VLOOKUP(F2484,辅助信息!A:B,2,FALSE)</f>
        <v>盘螺</v>
      </c>
      <c r="F2484" s="40" t="s">
        <v>41</v>
      </c>
      <c r="G2484" s="36">
        <v>16</v>
      </c>
      <c r="H2484" s="134">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09"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1">
        <v>45866</v>
      </c>
      <c r="O2484" s="62">
        <f ca="1" t="shared" si="157"/>
        <v>0</v>
      </c>
      <c r="P2484" s="62">
        <f ca="1" t="shared" si="158"/>
        <v>94</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0">
        <v>45866</v>
      </c>
      <c r="D2485" s="40" t="str">
        <f>VLOOKUP(B2485,辅助信息!E:K,7,FALSE)</f>
        <v>JWDDCD2025102100473</v>
      </c>
      <c r="E2485" s="40" t="str">
        <f>VLOOKUP(F2485,辅助信息!A:B,2,FALSE)</f>
        <v>螺纹钢</v>
      </c>
      <c r="F2485" s="40" t="s">
        <v>27</v>
      </c>
      <c r="G2485" s="36">
        <v>77</v>
      </c>
      <c r="H2485" s="134">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09"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1">
        <v>45866</v>
      </c>
      <c r="O2485" s="62">
        <f ca="1" t="shared" si="157"/>
        <v>0</v>
      </c>
      <c r="P2485" s="62">
        <f ca="1" t="shared" si="158"/>
        <v>94</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0">
        <v>45866</v>
      </c>
      <c r="D2486" s="40" t="str">
        <f>VLOOKUP(B2486,辅助信息!E:K,7,FALSE)</f>
        <v>JWDDCD2025102100473</v>
      </c>
      <c r="E2486" s="40" t="str">
        <f>VLOOKUP(F2486,辅助信息!A:B,2,FALSE)</f>
        <v>螺纹钢</v>
      </c>
      <c r="F2486" s="40" t="s">
        <v>19</v>
      </c>
      <c r="G2486" s="36">
        <v>20</v>
      </c>
      <c r="H2486" s="134">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09"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1">
        <v>45866</v>
      </c>
      <c r="O2486" s="62">
        <f ca="1" t="shared" si="157"/>
        <v>0</v>
      </c>
      <c r="P2486" s="62">
        <f ca="1" t="shared" si="158"/>
        <v>94</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0">
        <v>45866</v>
      </c>
      <c r="D2487" s="40" t="str">
        <f>VLOOKUP(B2487,辅助信息!E:K,7,FALSE)</f>
        <v>JWDDCD2025102100473</v>
      </c>
      <c r="E2487" s="40" t="str">
        <f>VLOOKUP(F2487,辅助信息!A:B,2,FALSE)</f>
        <v>螺纹钢</v>
      </c>
      <c r="F2487" s="40" t="s">
        <v>30</v>
      </c>
      <c r="G2487" s="36">
        <v>32.5</v>
      </c>
      <c r="H2487" s="134">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09"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1">
        <v>45866</v>
      </c>
      <c r="O2487" s="62">
        <f ca="1" t="shared" si="157"/>
        <v>0</v>
      </c>
      <c r="P2487" s="62">
        <f ca="1" t="shared" si="158"/>
        <v>94</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0">
        <v>45866</v>
      </c>
      <c r="D2488" s="40" t="str">
        <f>VLOOKUP(B2488,辅助信息!E:K,7,FALSE)</f>
        <v>JWDDCD2025102100473</v>
      </c>
      <c r="E2488" s="40" t="str">
        <f>VLOOKUP(F2488,辅助信息!A:B,2,FALSE)</f>
        <v>螺纹钢</v>
      </c>
      <c r="F2488" s="40" t="s">
        <v>66</v>
      </c>
      <c r="G2488" s="36">
        <v>5</v>
      </c>
      <c r="H2488" s="134">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09"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1">
        <v>45866</v>
      </c>
      <c r="O2488" s="62">
        <f ca="1" t="shared" si="157"/>
        <v>0</v>
      </c>
      <c r="P2488" s="62">
        <f ca="1" t="shared" si="158"/>
        <v>94</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0">
        <v>45866</v>
      </c>
      <c r="D2489" s="40" t="str">
        <f>VLOOKUP(B2489,辅助信息!E:K,7,FALSE)</f>
        <v>JWDDCD2025102100473</v>
      </c>
      <c r="E2489" s="40" t="str">
        <f>VLOOKUP(F2489,辅助信息!A:B,2,FALSE)</f>
        <v>螺纹钢</v>
      </c>
      <c r="F2489" s="40" t="s">
        <v>82</v>
      </c>
      <c r="G2489" s="36">
        <v>5</v>
      </c>
      <c r="H2489" s="134">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09"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1">
        <v>45866</v>
      </c>
      <c r="O2489" s="62">
        <f ca="1" t="shared" si="157"/>
        <v>0</v>
      </c>
      <c r="P2489" s="62">
        <f ca="1" t="shared" si="158"/>
        <v>94</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0">
        <v>45866</v>
      </c>
      <c r="D2490" s="40" t="str">
        <f>VLOOKUP(B2490,辅助信息!E:K,7,FALSE)</f>
        <v>JWDDCD2025102100473</v>
      </c>
      <c r="E2490" s="40" t="str">
        <f>VLOOKUP(F2490,辅助信息!A:B,2,FALSE)</f>
        <v>螺纹钢</v>
      </c>
      <c r="F2490" s="40" t="s">
        <v>45</v>
      </c>
      <c r="G2490" s="36">
        <v>5</v>
      </c>
      <c r="H2490" s="134">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09"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1">
        <v>45866</v>
      </c>
      <c r="O2490" s="62">
        <f ca="1" t="shared" si="157"/>
        <v>0</v>
      </c>
      <c r="P2490" s="62">
        <f ca="1" t="shared" si="158"/>
        <v>94</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0">
        <v>45866</v>
      </c>
      <c r="D2491" s="40" t="str">
        <f>VLOOKUP(B2491,辅助信息!E:K,7,FALSE)</f>
        <v>JWDDCD2025102100473</v>
      </c>
      <c r="E2491" s="40" t="str">
        <f>VLOOKUP(F2491,辅助信息!A:B,2,FALSE)</f>
        <v>螺纹钢</v>
      </c>
      <c r="F2491" s="40" t="s">
        <v>21</v>
      </c>
      <c r="G2491" s="36">
        <v>5</v>
      </c>
      <c r="H2491" s="134">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09"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1">
        <v>45866</v>
      </c>
      <c r="O2491" s="62">
        <f ca="1" t="shared" si="157"/>
        <v>0</v>
      </c>
      <c r="P2491" s="62">
        <f ca="1" t="shared" si="158"/>
        <v>94</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0">
        <v>45866</v>
      </c>
      <c r="D2492" s="40" t="str">
        <f>VLOOKUP(B2492,辅助信息!E:K,7,FALSE)</f>
        <v>JWDDCD2025102100473</v>
      </c>
      <c r="E2492" s="40" t="str">
        <f>VLOOKUP(F2492,辅助信息!A:B,2,FALSE)</f>
        <v>螺纹钢</v>
      </c>
      <c r="F2492" s="40" t="s">
        <v>58</v>
      </c>
      <c r="G2492" s="36">
        <v>10</v>
      </c>
      <c r="H2492" s="134">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09"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1">
        <v>45866</v>
      </c>
      <c r="O2492" s="62">
        <f ca="1" t="shared" si="157"/>
        <v>0</v>
      </c>
      <c r="P2492" s="62">
        <f ca="1" t="shared" si="158"/>
        <v>94</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0">
        <v>45866</v>
      </c>
      <c r="D2493" s="40" t="str">
        <f>VLOOKUP(B2493,辅助信息!E:K,7,FALSE)</f>
        <v>JWDDCD2025102100473</v>
      </c>
      <c r="E2493" s="40" t="str">
        <f>VLOOKUP(F2493,辅助信息!A:B,2,FALSE)</f>
        <v>螺纹钢</v>
      </c>
      <c r="F2493" s="40" t="s">
        <v>46</v>
      </c>
      <c r="G2493" s="36">
        <v>10</v>
      </c>
      <c r="H2493" s="134">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09"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1">
        <v>45866</v>
      </c>
      <c r="O2493" s="62">
        <f ca="1" t="shared" si="157"/>
        <v>0</v>
      </c>
      <c r="P2493" s="62">
        <f ca="1" t="shared" si="158"/>
        <v>94</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0">
        <v>45866</v>
      </c>
      <c r="D2494" s="40" t="str">
        <f>VLOOKUP(B2494,辅助信息!E:K,7,FALSE)</f>
        <v>JWDDCD2025102100473</v>
      </c>
      <c r="E2494" s="40" t="str">
        <f>VLOOKUP(F2494,辅助信息!A:B,2,FALSE)</f>
        <v>螺纹钢</v>
      </c>
      <c r="F2494" s="40" t="s">
        <v>22</v>
      </c>
      <c r="G2494" s="36">
        <v>50</v>
      </c>
      <c r="H2494" s="134">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09"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1">
        <v>45866</v>
      </c>
      <c r="O2494" s="62">
        <f ca="1" t="shared" si="157"/>
        <v>0</v>
      </c>
      <c r="P2494" s="62">
        <f ca="1" t="shared" si="158"/>
        <v>94</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0">
        <v>45866</v>
      </c>
      <c r="D2495" s="40" t="str">
        <f>VLOOKUP(B2495,辅助信息!E:K,7,FALSE)</f>
        <v>JWDDCD2025102100473</v>
      </c>
      <c r="E2495" s="40" t="str">
        <f>VLOOKUP(F2495,辅助信息!A:B,2,FALSE)</f>
        <v>螺纹钢</v>
      </c>
      <c r="F2495" s="40" t="s">
        <v>181</v>
      </c>
      <c r="G2495" s="36">
        <v>10</v>
      </c>
      <c r="H2495" s="134">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09"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1">
        <v>45866</v>
      </c>
      <c r="O2495" s="62">
        <f ca="1" t="shared" si="157"/>
        <v>0</v>
      </c>
      <c r="P2495" s="62">
        <f ca="1" t="shared" si="158"/>
        <v>94</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0">
        <v>45866</v>
      </c>
      <c r="D2496" s="40" t="str">
        <f>VLOOKUP(B2496,辅助信息!E:K,7,FALSE)</f>
        <v>JWDDCD2025052800131</v>
      </c>
      <c r="E2496" s="40" t="str">
        <f>VLOOKUP(F2496,辅助信息!A:B,2,FALSE)</f>
        <v>盘螺</v>
      </c>
      <c r="F2496" s="40" t="s">
        <v>40</v>
      </c>
      <c r="G2496" s="36">
        <v>27</v>
      </c>
      <c r="H2496" s="134">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09" t="str">
        <f>VLOOKUP(B2496,辅助信息!E:J,6,FALSE)</f>
        <v>控制炉批号！多了现场不收！,优先安排达钢,提前联系到场规格及数量</v>
      </c>
      <c r="M2496" s="91">
        <v>45866</v>
      </c>
      <c r="O2496" s="62">
        <f ca="1" t="shared" si="157"/>
        <v>0</v>
      </c>
      <c r="P2496" s="62">
        <f ca="1" t="shared" si="158"/>
        <v>94</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0">
        <v>45866</v>
      </c>
      <c r="D2497" s="40" t="str">
        <f>VLOOKUP(B2497,辅助信息!E:K,7,FALSE)</f>
        <v>JWDDCD2025052800131</v>
      </c>
      <c r="E2497" s="40" t="str">
        <f>VLOOKUP(F2497,辅助信息!A:B,2,FALSE)</f>
        <v>盘螺</v>
      </c>
      <c r="F2497" s="40" t="s">
        <v>41</v>
      </c>
      <c r="G2497" s="36">
        <v>9</v>
      </c>
      <c r="H2497" s="134">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09" t="str">
        <f>VLOOKUP(B2497,辅助信息!E:J,6,FALSE)</f>
        <v>控制炉批号！多了现场不收！,优先安排达钢,提前联系到场规格及数量</v>
      </c>
      <c r="M2497" s="91">
        <v>45866</v>
      </c>
      <c r="O2497" s="62">
        <f ca="1" t="shared" si="157"/>
        <v>0</v>
      </c>
      <c r="P2497" s="62">
        <f ca="1" t="shared" si="158"/>
        <v>94</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0">
        <v>45866</v>
      </c>
      <c r="D2498" s="40" t="str">
        <f>VLOOKUP(B2498,辅助信息!E:K,7,FALSE)</f>
        <v>JWDDCD2025052800131</v>
      </c>
      <c r="E2498" s="40" t="str">
        <f>VLOOKUP(F2498,辅助信息!A:B,2,FALSE)</f>
        <v>螺纹钢</v>
      </c>
      <c r="F2498" s="40" t="s">
        <v>45</v>
      </c>
      <c r="G2498" s="36">
        <v>6</v>
      </c>
      <c r="H2498" s="134">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09" t="str">
        <f>VLOOKUP(B2498,辅助信息!E:J,6,FALSE)</f>
        <v>控制炉批号！多了现场不收！,优先安排达钢,提前联系到场规格及数量</v>
      </c>
      <c r="M2498" s="91">
        <v>45866</v>
      </c>
      <c r="O2498" s="62">
        <f ca="1" t="shared" si="157"/>
        <v>0</v>
      </c>
      <c r="P2498" s="62">
        <f ca="1" t="shared" si="158"/>
        <v>94</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0">
        <v>45866</v>
      </c>
      <c r="D2499" s="40" t="str">
        <f>VLOOKUP(B2499,辅助信息!E:K,7,FALSE)</f>
        <v>JWDDCD2025052800131</v>
      </c>
      <c r="E2499" s="40" t="str">
        <f>VLOOKUP(F2499,辅助信息!A:B,2,FALSE)</f>
        <v>螺纹钢</v>
      </c>
      <c r="F2499" s="40" t="s">
        <v>21</v>
      </c>
      <c r="G2499" s="36">
        <v>12</v>
      </c>
      <c r="H2499" s="134">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09" t="str">
        <f>VLOOKUP(B2499,辅助信息!E:J,6,FALSE)</f>
        <v>控制炉批号！多了现场不收！,优先安排达钢,提前联系到场规格及数量</v>
      </c>
      <c r="M2499" s="91">
        <v>45866</v>
      </c>
      <c r="O2499" s="62">
        <f ca="1" t="shared" si="157"/>
        <v>0</v>
      </c>
      <c r="P2499" s="62">
        <f ca="1" t="shared" si="158"/>
        <v>94</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0">
        <v>45866</v>
      </c>
      <c r="D2500" s="40" t="str">
        <f>VLOOKUP(B2500,辅助信息!E:K,7,FALSE)</f>
        <v>JWDDCD2025052800131</v>
      </c>
      <c r="E2500" s="40" t="str">
        <f>VLOOKUP(F2500,辅助信息!A:B,2,FALSE)</f>
        <v>螺纹钢</v>
      </c>
      <c r="F2500" s="40" t="s">
        <v>58</v>
      </c>
      <c r="G2500" s="36">
        <v>15</v>
      </c>
      <c r="H2500" s="134">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09" t="str">
        <f>VLOOKUP(B2500,辅助信息!E:J,6,FALSE)</f>
        <v>控制炉批号！多了现场不收！,优先安排达钢,提前联系到场规格及数量</v>
      </c>
      <c r="M2500" s="91">
        <v>45866</v>
      </c>
      <c r="O2500" s="62">
        <f ca="1" t="shared" si="157"/>
        <v>0</v>
      </c>
      <c r="P2500" s="62">
        <f ca="1" t="shared" si="158"/>
        <v>94</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0">
        <v>45866</v>
      </c>
      <c r="D2501" s="40" t="str">
        <f>VLOOKUP(B2501,辅助信息!E:K,7,FALSE)</f>
        <v>JWDDCD2025052800131</v>
      </c>
      <c r="E2501" s="40" t="str">
        <f>VLOOKUP(F2501,辅助信息!A:B,2,FALSE)</f>
        <v>螺纹钢</v>
      </c>
      <c r="F2501" s="40" t="s">
        <v>46</v>
      </c>
      <c r="G2501" s="36">
        <v>6</v>
      </c>
      <c r="H2501" s="134">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09" t="str">
        <f>VLOOKUP(B2501,辅助信息!E:J,6,FALSE)</f>
        <v>控制炉批号！多了现场不收！,优先安排达钢,提前联系到场规格及数量</v>
      </c>
      <c r="M2501" s="91">
        <v>45866</v>
      </c>
      <c r="O2501" s="62">
        <f ca="1" t="shared" si="157"/>
        <v>0</v>
      </c>
      <c r="P2501" s="62">
        <f ca="1" t="shared" si="158"/>
        <v>94</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0">
        <v>45866</v>
      </c>
      <c r="D2502" s="40" t="str">
        <f>VLOOKUP(B2502,辅助信息!E:K,7,FALSE)</f>
        <v>JWDDCD2025052800131</v>
      </c>
      <c r="E2502" s="40" t="str">
        <f>VLOOKUP(F2502,辅助信息!A:B,2,FALSE)</f>
        <v>螺纹钢</v>
      </c>
      <c r="F2502" s="40" t="s">
        <v>22</v>
      </c>
      <c r="G2502" s="36">
        <v>6</v>
      </c>
      <c r="H2502" s="134">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09" t="str">
        <f>VLOOKUP(B2502,辅助信息!E:J,6,FALSE)</f>
        <v>控制炉批号！多了现场不收！,优先安排达钢,提前联系到场规格及数量</v>
      </c>
      <c r="M2502" s="91">
        <v>45866</v>
      </c>
      <c r="O2502" s="62">
        <f ca="1" t="shared" si="157"/>
        <v>0</v>
      </c>
      <c r="P2502" s="62">
        <f ca="1" t="shared" si="158"/>
        <v>94</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0">
        <v>45866</v>
      </c>
      <c r="D2503" s="40" t="str">
        <f>VLOOKUP(B2503,辅助信息!E:K,7,FALSE)</f>
        <v>JWDDCD2025051800046</v>
      </c>
      <c r="E2503" s="40" t="str">
        <f>VLOOKUP(F2503,辅助信息!A:B,2,FALSE)</f>
        <v>盘螺</v>
      </c>
      <c r="F2503" s="40" t="s">
        <v>40</v>
      </c>
      <c r="G2503" s="36">
        <v>20</v>
      </c>
      <c r="H2503" s="134">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09" t="str">
        <f>VLOOKUP(B2503,辅助信息!E:J,6,FALSE)</f>
        <v>优先威钢,我方卸车,新老国标钢厂不加价可直发</v>
      </c>
      <c r="M2503" s="91">
        <v>45869</v>
      </c>
      <c r="O2503" s="62">
        <f ca="1" t="shared" si="157"/>
        <v>0</v>
      </c>
      <c r="P2503" s="62">
        <f ca="1" t="shared" si="158"/>
        <v>91</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0">
        <v>45866</v>
      </c>
      <c r="D2504" s="40" t="str">
        <f>VLOOKUP(B2504,辅助信息!E:K,7,FALSE)</f>
        <v>JWDDCD2025051800046</v>
      </c>
      <c r="E2504" s="40" t="str">
        <f>VLOOKUP(F2504,辅助信息!A:B,2,FALSE)</f>
        <v>盘螺</v>
      </c>
      <c r="F2504" s="40" t="s">
        <v>41</v>
      </c>
      <c r="G2504" s="36">
        <v>20</v>
      </c>
      <c r="H2504" s="134">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09" t="str">
        <f>VLOOKUP(B2504,辅助信息!E:J,6,FALSE)</f>
        <v>优先威钢,我方卸车,新老国标钢厂不加价可直发</v>
      </c>
      <c r="M2504" s="91">
        <v>45869</v>
      </c>
      <c r="O2504" s="62">
        <f ca="1" t="shared" si="157"/>
        <v>0</v>
      </c>
      <c r="P2504" s="62">
        <f ca="1" t="shared" si="158"/>
        <v>91</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0">
        <v>45866</v>
      </c>
      <c r="D2505" s="40" t="str">
        <f>VLOOKUP(B2505,辅助信息!E:K,7,FALSE)</f>
        <v>JWDDCD2025051800046</v>
      </c>
      <c r="E2505" s="40" t="str">
        <f>VLOOKUP(F2505,辅助信息!A:B,2,FALSE)</f>
        <v>螺纹钢</v>
      </c>
      <c r="F2505" s="40" t="s">
        <v>27</v>
      </c>
      <c r="G2505" s="36">
        <v>10</v>
      </c>
      <c r="H2505" s="134">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09" t="str">
        <f>VLOOKUP(B2505,辅助信息!E:J,6,FALSE)</f>
        <v>优先威钢,我方卸车,新老国标钢厂不加价可直发</v>
      </c>
      <c r="M2505" s="91">
        <v>45869</v>
      </c>
      <c r="O2505" s="62">
        <f ca="1" t="shared" si="157"/>
        <v>0</v>
      </c>
      <c r="P2505" s="62">
        <f ca="1" t="shared" si="158"/>
        <v>91</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0">
        <v>45866</v>
      </c>
      <c r="D2506" s="40" t="str">
        <f>VLOOKUP(B2506,辅助信息!E:K,7,FALSE)</f>
        <v>JWDDCD2025051800046</v>
      </c>
      <c r="E2506" s="40" t="str">
        <f>VLOOKUP(F2506,辅助信息!A:B,2,FALSE)</f>
        <v>螺纹钢</v>
      </c>
      <c r="F2506" s="40" t="s">
        <v>19</v>
      </c>
      <c r="G2506" s="36">
        <v>3</v>
      </c>
      <c r="H2506" s="134">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09" t="str">
        <f>VLOOKUP(B2506,辅助信息!E:J,6,FALSE)</f>
        <v>优先威钢,我方卸车,新老国标钢厂不加价可直发</v>
      </c>
      <c r="M2506" s="91">
        <v>45869</v>
      </c>
      <c r="O2506" s="62">
        <f ca="1" t="shared" si="157"/>
        <v>0</v>
      </c>
      <c r="P2506" s="62">
        <f ca="1" t="shared" si="158"/>
        <v>91</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0">
        <v>45866</v>
      </c>
      <c r="D2507" s="40" t="str">
        <f>VLOOKUP(B2507,辅助信息!E:K,7,FALSE)</f>
        <v>JWDDCD2025051800046</v>
      </c>
      <c r="E2507" s="40" t="str">
        <f>VLOOKUP(F2507,辅助信息!A:B,2,FALSE)</f>
        <v>螺纹钢</v>
      </c>
      <c r="F2507" s="40" t="s">
        <v>82</v>
      </c>
      <c r="G2507" s="36">
        <v>3</v>
      </c>
      <c r="H2507" s="134">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09" t="str">
        <f>VLOOKUP(B2507,辅助信息!E:J,6,FALSE)</f>
        <v>优先威钢,我方卸车,新老国标钢厂不加价可直发</v>
      </c>
      <c r="M2507" s="91">
        <v>45869</v>
      </c>
      <c r="O2507" s="62">
        <f ca="1" t="shared" si="157"/>
        <v>0</v>
      </c>
      <c r="P2507" s="62">
        <f ca="1" t="shared" si="158"/>
        <v>91</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0">
        <v>45866</v>
      </c>
      <c r="D2508" s="40" t="str">
        <f>VLOOKUP(B2508,辅助信息!E:K,7,FALSE)</f>
        <v>JWDDCD2025051800046</v>
      </c>
      <c r="E2508" s="40" t="str">
        <f>VLOOKUP(F2508,辅助信息!A:B,2,FALSE)</f>
        <v>螺纹钢</v>
      </c>
      <c r="F2508" s="40" t="s">
        <v>45</v>
      </c>
      <c r="G2508" s="36">
        <v>5</v>
      </c>
      <c r="H2508" s="134">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09" t="str">
        <f>VLOOKUP(B2508,辅助信息!E:J,6,FALSE)</f>
        <v>优先威钢,我方卸车,新老国标钢厂不加价可直发</v>
      </c>
      <c r="M2508" s="91">
        <v>45869</v>
      </c>
      <c r="O2508" s="62">
        <f ca="1" t="shared" si="157"/>
        <v>0</v>
      </c>
      <c r="P2508" s="62">
        <f ca="1" t="shared" si="158"/>
        <v>91</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0">
        <v>45866</v>
      </c>
      <c r="D2509" s="40" t="str">
        <f>VLOOKUP(B2509,辅助信息!E:K,7,FALSE)</f>
        <v>JWDDCD2025051800046</v>
      </c>
      <c r="E2509" s="40" t="str">
        <f>VLOOKUP(F2509,辅助信息!A:B,2,FALSE)</f>
        <v>螺纹钢</v>
      </c>
      <c r="F2509" s="40" t="s">
        <v>21</v>
      </c>
      <c r="G2509" s="36">
        <v>3</v>
      </c>
      <c r="H2509" s="134">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09" t="str">
        <f>VLOOKUP(B2509,辅助信息!E:J,6,FALSE)</f>
        <v>优先威钢,我方卸车,新老国标钢厂不加价可直发</v>
      </c>
      <c r="M2509" s="91">
        <v>45869</v>
      </c>
      <c r="O2509" s="62">
        <f ca="1" t="shared" si="157"/>
        <v>0</v>
      </c>
      <c r="P2509" s="62">
        <f ca="1" t="shared" si="158"/>
        <v>91</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0">
        <v>45866</v>
      </c>
      <c r="D2510" s="40" t="str">
        <f>VLOOKUP(B2510,辅助信息!E:K,7,FALSE)</f>
        <v>JWDDCD2025051800046</v>
      </c>
      <c r="E2510" s="40" t="str">
        <f>VLOOKUP(F2510,辅助信息!A:B,2,FALSE)</f>
        <v>螺纹钢</v>
      </c>
      <c r="F2510" s="40" t="s">
        <v>58</v>
      </c>
      <c r="G2510" s="36">
        <v>13</v>
      </c>
      <c r="H2510" s="134">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09" t="str">
        <f>VLOOKUP(B2510,辅助信息!E:J,6,FALSE)</f>
        <v>优先威钢,我方卸车,新老国标钢厂不加价可直发</v>
      </c>
      <c r="M2510" s="91">
        <v>45869</v>
      </c>
      <c r="O2510" s="62">
        <f ca="1" t="shared" si="157"/>
        <v>0</v>
      </c>
      <c r="P2510" s="62">
        <f ca="1" t="shared" si="158"/>
        <v>91</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0">
        <v>45866</v>
      </c>
      <c r="D2511" s="40" t="str">
        <f>VLOOKUP(B2511,辅助信息!E:K,7,FALSE)</f>
        <v>JWDDCD2025051800046</v>
      </c>
      <c r="E2511" s="40" t="str">
        <f>VLOOKUP(F2511,辅助信息!A:B,2,FALSE)</f>
        <v>螺纹钢</v>
      </c>
      <c r="F2511" s="40" t="s">
        <v>46</v>
      </c>
      <c r="G2511" s="36">
        <v>6</v>
      </c>
      <c r="H2511" s="134">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09" t="str">
        <f>VLOOKUP(B2511,辅助信息!E:J,6,FALSE)</f>
        <v>优先威钢,我方卸车,新老国标钢厂不加价可直发</v>
      </c>
      <c r="M2511" s="91">
        <v>45869</v>
      </c>
      <c r="O2511" s="62">
        <f ca="1" t="shared" si="157"/>
        <v>0</v>
      </c>
      <c r="P2511" s="62">
        <f ca="1" t="shared" si="158"/>
        <v>91</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0">
        <v>45866</v>
      </c>
      <c r="D2512" s="40" t="str">
        <f>VLOOKUP(B2512,辅助信息!E:K,7,FALSE)</f>
        <v>JWDDCD2025051800046</v>
      </c>
      <c r="E2512" s="40" t="str">
        <f>VLOOKUP(F2512,辅助信息!A:B,2,FALSE)</f>
        <v>螺纹钢</v>
      </c>
      <c r="F2512" s="40" t="s">
        <v>22</v>
      </c>
      <c r="G2512" s="36">
        <v>22</v>
      </c>
      <c r="H2512" s="134">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09" t="str">
        <f>VLOOKUP(B2512,辅助信息!E:J,6,FALSE)</f>
        <v>优先威钢,我方卸车,新老国标钢厂不加价可直发</v>
      </c>
      <c r="M2512" s="91">
        <v>45869</v>
      </c>
      <c r="O2512" s="62">
        <f ca="1" t="shared" si="157"/>
        <v>0</v>
      </c>
      <c r="P2512" s="62">
        <f ca="1" t="shared" si="158"/>
        <v>91</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0">
        <v>45866</v>
      </c>
      <c r="D2513" s="40" t="str">
        <f>VLOOKUP(B2513,辅助信息!E:K,7,FALSE)</f>
        <v>JWDDCD2025062200016</v>
      </c>
      <c r="E2513" s="40" t="str">
        <f>VLOOKUP(F2513,辅助信息!A:B,2,FALSE)</f>
        <v>盘螺</v>
      </c>
      <c r="F2513" s="40" t="s">
        <v>40</v>
      </c>
      <c r="G2513" s="36">
        <v>14.12</v>
      </c>
      <c r="H2513" s="134">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09" t="str">
        <f>VLOOKUP(B2513,辅助信息!E:J,6,FALSE)</f>
        <v>锈货不收！！下雨天钢筋没盖篷布不收！！，装货前联系收货人核实到场规格,没提前告知进场规格现场不给予接收</v>
      </c>
      <c r="M2513" s="91">
        <v>45866</v>
      </c>
      <c r="O2513" s="62">
        <f ca="1" t="shared" si="157"/>
        <v>0</v>
      </c>
      <c r="P2513" s="62">
        <f ca="1" t="shared" si="158"/>
        <v>94</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0">
        <v>45866</v>
      </c>
      <c r="D2514" s="40" t="str">
        <f>VLOOKUP(B2514,辅助信息!E:K,7,FALSE)</f>
        <v>JWDDCD2025062200016</v>
      </c>
      <c r="E2514" s="40" t="str">
        <f>VLOOKUP(F2514,辅助信息!A:B,2,FALSE)</f>
        <v>盘螺</v>
      </c>
      <c r="F2514" s="40" t="s">
        <v>41</v>
      </c>
      <c r="G2514" s="36">
        <v>18.07</v>
      </c>
      <c r="H2514" s="134">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09" t="str">
        <f>VLOOKUP(B2514,辅助信息!E:J,6,FALSE)</f>
        <v>锈货不收！！下雨天钢筋没盖篷布不收！！，装货前联系收货人核实到场规格,没提前告知进场规格现场不给予接收</v>
      </c>
      <c r="M2514" s="91">
        <v>45866</v>
      </c>
      <c r="O2514" s="62">
        <f ca="1" t="shared" si="157"/>
        <v>0</v>
      </c>
      <c r="P2514" s="62">
        <f ca="1" t="shared" si="158"/>
        <v>94</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0">
        <v>45866</v>
      </c>
      <c r="D2515" s="40" t="str">
        <f>VLOOKUP(B2515,辅助信息!E:K,7,FALSE)</f>
        <v>JWDDCD2025062200016</v>
      </c>
      <c r="E2515" s="40" t="str">
        <f>VLOOKUP(F2515,辅助信息!A:B,2,FALSE)</f>
        <v>螺纹钢</v>
      </c>
      <c r="F2515" s="40" t="s">
        <v>27</v>
      </c>
      <c r="G2515" s="36">
        <v>11.89</v>
      </c>
      <c r="H2515" s="134">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09" t="str">
        <f>VLOOKUP(B2515,辅助信息!E:J,6,FALSE)</f>
        <v>锈货不收！！下雨天钢筋没盖篷布不收！！，装货前联系收货人核实到场规格,没提前告知进场规格现场不给予接收</v>
      </c>
      <c r="M2515" s="91">
        <v>45866</v>
      </c>
      <c r="O2515" s="62">
        <f ca="1" t="shared" si="157"/>
        <v>0</v>
      </c>
      <c r="P2515" s="62">
        <f ca="1" t="shared" si="158"/>
        <v>94</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0">
        <v>45866</v>
      </c>
      <c r="D2516" s="40" t="str">
        <f>VLOOKUP(B2516,辅助信息!E:K,7,FALSE)</f>
        <v>JWDDCD2025062200016</v>
      </c>
      <c r="E2516" s="40" t="str">
        <f>VLOOKUP(F2516,辅助信息!A:B,2,FALSE)</f>
        <v>螺纹钢</v>
      </c>
      <c r="F2516" s="40" t="s">
        <v>19</v>
      </c>
      <c r="G2516" s="36">
        <v>10.24</v>
      </c>
      <c r="H2516" s="134">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09" t="str">
        <f>VLOOKUP(B2516,辅助信息!E:J,6,FALSE)</f>
        <v>锈货不收！！下雨天钢筋没盖篷布不收！！，装货前联系收货人核实到场规格,没提前告知进场规格现场不给予接收</v>
      </c>
      <c r="M2516" s="91">
        <v>45866</v>
      </c>
      <c r="O2516" s="62">
        <f ca="1" t="shared" si="157"/>
        <v>0</v>
      </c>
      <c r="P2516" s="62">
        <f ca="1" t="shared" si="158"/>
        <v>94</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0">
        <v>45866</v>
      </c>
      <c r="D2517" s="40" t="str">
        <f>VLOOKUP(B2517,辅助信息!E:K,7,FALSE)</f>
        <v>JWDDCD2025062200016</v>
      </c>
      <c r="E2517" s="40" t="str">
        <f>VLOOKUP(F2517,辅助信息!A:B,2,FALSE)</f>
        <v>螺纹钢</v>
      </c>
      <c r="F2517" s="40" t="s">
        <v>32</v>
      </c>
      <c r="G2517" s="36">
        <v>9</v>
      </c>
      <c r="H2517" s="134">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09" t="str">
        <f>VLOOKUP(B2517,辅助信息!E:J,6,FALSE)</f>
        <v>锈货不收！！下雨天钢筋没盖篷布不收！！，装货前联系收货人核实到场规格,没提前告知进场规格现场不给予接收</v>
      </c>
      <c r="M2517" s="91">
        <v>45866</v>
      </c>
      <c r="O2517" s="62">
        <f ca="1" t="shared" si="157"/>
        <v>0</v>
      </c>
      <c r="P2517" s="62">
        <f ca="1" t="shared" si="158"/>
        <v>94</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0">
        <v>45866</v>
      </c>
      <c r="D2518" s="40" t="str">
        <f>VLOOKUP(B2518,辅助信息!E:K,7,FALSE)</f>
        <v>JWDDCD2025062200016</v>
      </c>
      <c r="E2518" s="40" t="str">
        <f>VLOOKUP(F2518,辅助信息!A:B,2,FALSE)</f>
        <v>螺纹钢</v>
      </c>
      <c r="F2518" s="40" t="s">
        <v>30</v>
      </c>
      <c r="G2518" s="36">
        <v>22.45</v>
      </c>
      <c r="H2518" s="134"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09" t="str">
        <f>VLOOKUP(B2518,辅助信息!E:J,6,FALSE)</f>
        <v>锈货不收！！下雨天钢筋没盖篷布不收！！，装货前联系收货人核实到场规格,没提前告知进场规格现场不给予接收</v>
      </c>
      <c r="M2518" s="91">
        <v>45866</v>
      </c>
      <c r="O2518" s="62">
        <f ca="1" t="shared" si="157"/>
        <v>0</v>
      </c>
      <c r="P2518" s="62">
        <f ca="1" t="shared" si="158"/>
        <v>94</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0">
        <v>45866</v>
      </c>
      <c r="D2519" s="40" t="str">
        <f>VLOOKUP(B2519,辅助信息!E:K,7,FALSE)</f>
        <v>JWDDCD2025062200016</v>
      </c>
      <c r="E2519" s="40" t="str">
        <f>VLOOKUP(F2519,辅助信息!A:B,2,FALSE)</f>
        <v>螺纹钢</v>
      </c>
      <c r="F2519" s="40" t="s">
        <v>33</v>
      </c>
      <c r="G2519" s="36">
        <v>10.57</v>
      </c>
      <c r="H2519" s="134">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09" t="str">
        <f>VLOOKUP(B2519,辅助信息!E:J,6,FALSE)</f>
        <v>锈货不收！！下雨天钢筋没盖篷布不收！！，装货前联系收货人核实到场规格,没提前告知进场规格现场不给予接收</v>
      </c>
      <c r="M2519" s="91">
        <v>45866</v>
      </c>
      <c r="O2519" s="62">
        <f ca="1" t="shared" si="157"/>
        <v>0</v>
      </c>
      <c r="P2519" s="62">
        <f ca="1" t="shared" si="158"/>
        <v>94</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0">
        <v>45866</v>
      </c>
      <c r="D2520" s="40" t="str">
        <f>VLOOKUP(B2520,辅助信息!E:K,7,FALSE)</f>
        <v>JWDDCD2025062200016</v>
      </c>
      <c r="E2520" s="40" t="str">
        <f>VLOOKUP(F2520,辅助信息!A:B,2,FALSE)</f>
        <v>螺纹钢</v>
      </c>
      <c r="F2520" s="40" t="s">
        <v>28</v>
      </c>
      <c r="G2520" s="36">
        <v>10.16</v>
      </c>
      <c r="H2520" s="134">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09" t="str">
        <f>VLOOKUP(B2520,辅助信息!E:J,6,FALSE)</f>
        <v>锈货不收！！下雨天钢筋没盖篷布不收！！，装货前联系收货人核实到场规格,没提前告知进场规格现场不给予接收</v>
      </c>
      <c r="M2520" s="91">
        <v>45866</v>
      </c>
      <c r="O2520" s="62">
        <f ca="1" t="shared" si="157"/>
        <v>0</v>
      </c>
      <c r="P2520" s="62">
        <f ca="1" t="shared" si="158"/>
        <v>94</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0">
        <v>45866</v>
      </c>
      <c r="D2521" s="40" t="str">
        <f>VLOOKUP(B2521,辅助信息!E:K,7,FALSE)</f>
        <v>JWDDCD2025062200016</v>
      </c>
      <c r="E2521" s="40" t="str">
        <f>VLOOKUP(F2521,辅助信息!A:B,2,FALSE)</f>
        <v>螺纹钢</v>
      </c>
      <c r="F2521" s="40" t="s">
        <v>18</v>
      </c>
      <c r="G2521" s="36">
        <v>10.73</v>
      </c>
      <c r="H2521" s="134">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09" t="str">
        <f>VLOOKUP(B2521,辅助信息!E:J,6,FALSE)</f>
        <v>锈货不收！！下雨天钢筋没盖篷布不收！！，装货前联系收货人核实到场规格,没提前告知进场规格现场不给予接收</v>
      </c>
      <c r="M2521" s="91">
        <v>45866</v>
      </c>
      <c r="O2521" s="62">
        <f ca="1" t="shared" si="157"/>
        <v>0</v>
      </c>
      <c r="P2521" s="62">
        <f ca="1" t="shared" si="158"/>
        <v>94</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0">
        <v>45867</v>
      </c>
      <c r="D2522" s="40" t="str">
        <f>VLOOKUP(B2522,辅助信息!E:K,7,FALSE)</f>
        <v>JWDDCD2025060900080</v>
      </c>
      <c r="E2522" s="40" t="str">
        <f>VLOOKUP(F2522,辅助信息!A:B,2,FALSE)</f>
        <v>盘螺</v>
      </c>
      <c r="F2522" s="40" t="s">
        <v>49</v>
      </c>
      <c r="G2522" s="36">
        <v>5</v>
      </c>
      <c r="H2522" s="134">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09" t="str">
        <f>VLOOKUP(B2522,辅助信息!E:J,6,FALSE)</f>
        <v>现场禁止使用氢能源挂车！优先威钢发货,我方卸车,新老国标钢厂不加价可直发，因陕钢多次出现磅差，项目拒绝使用</v>
      </c>
      <c r="M2522" s="91">
        <v>45868</v>
      </c>
      <c r="O2522" s="62">
        <f ca="1" t="shared" si="157"/>
        <v>0</v>
      </c>
      <c r="P2522" s="62">
        <f ca="1" t="shared" si="158"/>
        <v>92</v>
      </c>
      <c r="Q2522" s="29" t="str">
        <f>VLOOKUP(B2522,辅助信息!E:M,9,FALSE)</f>
        <v>ZTWM-CDGS-XS-2024-0030-华西集采-简州大道</v>
      </c>
      <c r="R2522" s="29" t="str">
        <f>_xlfn._xlws.FILTER(辅助信息!D:D,辅助信息!E:E=B2522)</f>
        <v>华西简阳西城嘉苑</v>
      </c>
    </row>
    <row r="2523" hidden="1" spans="2:18">
      <c r="B2523" s="40" t="s">
        <v>81</v>
      </c>
      <c r="C2523" s="70">
        <v>45867</v>
      </c>
      <c r="D2523" s="40" t="str">
        <f>VLOOKUP(B2523,辅助信息!E:K,7,FALSE)</f>
        <v>JWDDCD2025060900080</v>
      </c>
      <c r="E2523" s="40" t="str">
        <f>VLOOKUP(F2523,辅助信息!A:B,2,FALSE)</f>
        <v>盘螺</v>
      </c>
      <c r="F2523" s="40" t="s">
        <v>40</v>
      </c>
      <c r="G2523" s="36">
        <v>44</v>
      </c>
      <c r="H2523" s="134">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09" t="str">
        <f>VLOOKUP(B2523,辅助信息!E:J,6,FALSE)</f>
        <v>现场禁止使用氢能源挂车！优先威钢发货,我方卸车,新老国标钢厂不加价可直发，因陕钢多次出现磅差，项目拒绝使用</v>
      </c>
      <c r="M2523" s="91">
        <v>45868</v>
      </c>
      <c r="O2523" s="62">
        <f ca="1" t="shared" si="157"/>
        <v>0</v>
      </c>
      <c r="P2523" s="62">
        <f ca="1" t="shared" si="158"/>
        <v>92</v>
      </c>
      <c r="Q2523" s="29" t="str">
        <f>VLOOKUP(B2523,辅助信息!E:M,9,FALSE)</f>
        <v>ZTWM-CDGS-XS-2024-0030-华西集采-简州大道</v>
      </c>
      <c r="R2523" s="29" t="str">
        <f>_xlfn._xlws.FILTER(辅助信息!D:D,辅助信息!E:E=B2523)</f>
        <v>华西简阳西城嘉苑</v>
      </c>
    </row>
    <row r="2524" hidden="1" spans="2:18">
      <c r="B2524" s="40" t="s">
        <v>81</v>
      </c>
      <c r="C2524" s="70">
        <v>45867</v>
      </c>
      <c r="D2524" s="40" t="str">
        <f>VLOOKUP(B2524,辅助信息!E:K,7,FALSE)</f>
        <v>JWDDCD2025060900080</v>
      </c>
      <c r="E2524" s="40" t="str">
        <f>VLOOKUP(F2524,辅助信息!A:B,2,FALSE)</f>
        <v>盘螺</v>
      </c>
      <c r="F2524" s="40" t="s">
        <v>41</v>
      </c>
      <c r="G2524" s="36">
        <v>73</v>
      </c>
      <c r="H2524" s="134">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09" t="str">
        <f>VLOOKUP(B2524,辅助信息!E:J,6,FALSE)</f>
        <v>现场禁止使用氢能源挂车！优先威钢发货,我方卸车,新老国标钢厂不加价可直发，因陕钢多次出现磅差，项目拒绝使用</v>
      </c>
      <c r="M2524" s="91">
        <v>45868</v>
      </c>
      <c r="O2524" s="62">
        <f ca="1" t="shared" si="157"/>
        <v>0</v>
      </c>
      <c r="P2524" s="62">
        <f ca="1" t="shared" si="158"/>
        <v>92</v>
      </c>
      <c r="Q2524" s="29" t="str">
        <f>VLOOKUP(B2524,辅助信息!E:M,9,FALSE)</f>
        <v>ZTWM-CDGS-XS-2024-0030-华西集采-简州大道</v>
      </c>
      <c r="R2524" s="29" t="str">
        <f>_xlfn._xlws.FILTER(辅助信息!D:D,辅助信息!E:E=B2524)</f>
        <v>华西简阳西城嘉苑</v>
      </c>
    </row>
    <row r="2525" hidden="1" spans="2:18">
      <c r="B2525" s="40" t="s">
        <v>81</v>
      </c>
      <c r="C2525" s="70">
        <v>45867</v>
      </c>
      <c r="D2525" s="40" t="str">
        <f>VLOOKUP(B2525,辅助信息!E:K,7,FALSE)</f>
        <v>JWDDCD2025060900080</v>
      </c>
      <c r="E2525" s="40" t="str">
        <f>VLOOKUP(F2525,辅助信息!A:B,2,FALSE)</f>
        <v>盘螺</v>
      </c>
      <c r="F2525" s="40" t="s">
        <v>26</v>
      </c>
      <c r="G2525" s="36">
        <v>19.5</v>
      </c>
      <c r="H2525" s="134">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09" t="str">
        <f>VLOOKUP(B2525,辅助信息!E:J,6,FALSE)</f>
        <v>现场禁止使用氢能源挂车！优先威钢发货,我方卸车,新老国标钢厂不加价可直发，因陕钢多次出现磅差，项目拒绝使用</v>
      </c>
      <c r="M2525" s="91">
        <v>45868</v>
      </c>
      <c r="O2525" s="62">
        <f ca="1" t="shared" ref="O2525:O2588" si="159">IF(OR(M2525="",N2525&lt;&gt;""),"",MAX(M2525-TODAY(),0))</f>
        <v>0</v>
      </c>
      <c r="P2525" s="62">
        <f ca="1" t="shared" ref="P2525:P2588" si="160">IF(M2525="","",IF(N2525&lt;&gt;"",MAX(N2525-M2525,0),IF(TODAY()&gt;M2525,TODAY()-M2525,0)))</f>
        <v>92</v>
      </c>
      <c r="Q2525" s="29" t="str">
        <f>VLOOKUP(B2525,辅助信息!E:M,9,FALSE)</f>
        <v>ZTWM-CDGS-XS-2024-0030-华西集采-简州大道</v>
      </c>
      <c r="R2525" s="29" t="str">
        <f>_xlfn._xlws.FILTER(辅助信息!D:D,辅助信息!E:E=B2525)</f>
        <v>华西简阳西城嘉苑</v>
      </c>
    </row>
    <row r="2526" hidden="1" spans="2:18">
      <c r="B2526" s="40" t="s">
        <v>81</v>
      </c>
      <c r="C2526" s="70">
        <v>45867</v>
      </c>
      <c r="D2526" s="40" t="str">
        <f>VLOOKUP(B2526,辅助信息!E:K,7,FALSE)</f>
        <v>JWDDCD2025060900080</v>
      </c>
      <c r="E2526" s="40" t="str">
        <f>VLOOKUP(F2526,辅助信息!A:B,2,FALSE)</f>
        <v>螺纹钢</v>
      </c>
      <c r="F2526" s="40" t="s">
        <v>19</v>
      </c>
      <c r="G2526" s="36">
        <v>16</v>
      </c>
      <c r="H2526" s="134">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09" t="str">
        <f>VLOOKUP(B2526,辅助信息!E:J,6,FALSE)</f>
        <v>现场禁止使用氢能源挂车！优先威钢发货,我方卸车,新老国标钢厂不加价可直发，因陕钢多次出现磅差，项目拒绝使用</v>
      </c>
      <c r="M2526" s="91">
        <v>45868</v>
      </c>
      <c r="O2526" s="62">
        <f ca="1" t="shared" si="159"/>
        <v>0</v>
      </c>
      <c r="P2526" s="62">
        <f ca="1" t="shared" si="160"/>
        <v>92</v>
      </c>
      <c r="Q2526" s="29" t="str">
        <f>VLOOKUP(B2526,辅助信息!E:M,9,FALSE)</f>
        <v>ZTWM-CDGS-XS-2024-0030-华西集采-简州大道</v>
      </c>
      <c r="R2526" s="29" t="str">
        <f>_xlfn._xlws.FILTER(辅助信息!D:D,辅助信息!E:E=B2526)</f>
        <v>华西简阳西城嘉苑</v>
      </c>
    </row>
    <row r="2527" hidden="1" spans="2:18">
      <c r="B2527" s="40" t="s">
        <v>81</v>
      </c>
      <c r="C2527" s="70">
        <v>45867</v>
      </c>
      <c r="D2527" s="40" t="str">
        <f>VLOOKUP(B2527,辅助信息!E:K,7,FALSE)</f>
        <v>JWDDCD2025060900080</v>
      </c>
      <c r="E2527" s="40" t="str">
        <f>VLOOKUP(F2527,辅助信息!A:B,2,FALSE)</f>
        <v>螺纹钢</v>
      </c>
      <c r="F2527" s="40" t="s">
        <v>32</v>
      </c>
      <c r="G2527" s="36">
        <v>14</v>
      </c>
      <c r="H2527" s="134">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09" t="str">
        <f>VLOOKUP(B2527,辅助信息!E:J,6,FALSE)</f>
        <v>现场禁止使用氢能源挂车！优先威钢发货,我方卸车,新老国标钢厂不加价可直发，因陕钢多次出现磅差，项目拒绝使用</v>
      </c>
      <c r="M2527" s="91">
        <v>45868</v>
      </c>
      <c r="O2527" s="62">
        <f ca="1" t="shared" si="159"/>
        <v>0</v>
      </c>
      <c r="P2527" s="62">
        <f ca="1" t="shared" si="160"/>
        <v>92</v>
      </c>
      <c r="Q2527" s="29" t="str">
        <f>VLOOKUP(B2527,辅助信息!E:M,9,FALSE)</f>
        <v>ZTWM-CDGS-XS-2024-0030-华西集采-简州大道</v>
      </c>
      <c r="R2527" s="29" t="str">
        <f>_xlfn._xlws.FILTER(辅助信息!D:D,辅助信息!E:E=B2527)</f>
        <v>华西简阳西城嘉苑</v>
      </c>
    </row>
    <row r="2528" hidden="1" spans="2:18">
      <c r="B2528" s="40" t="s">
        <v>81</v>
      </c>
      <c r="C2528" s="70">
        <v>45867</v>
      </c>
      <c r="D2528" s="40" t="str">
        <f>VLOOKUP(B2528,辅助信息!E:K,7,FALSE)</f>
        <v>JWDDCD2025060900080</v>
      </c>
      <c r="E2528" s="40" t="str">
        <f>VLOOKUP(F2528,辅助信息!A:B,2,FALSE)</f>
        <v>螺纹钢</v>
      </c>
      <c r="F2528" s="40" t="s">
        <v>30</v>
      </c>
      <c r="G2528" s="36">
        <v>2.5</v>
      </c>
      <c r="H2528" s="134">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09" t="str">
        <f>VLOOKUP(B2528,辅助信息!E:J,6,FALSE)</f>
        <v>现场禁止使用氢能源挂车！优先威钢发货,我方卸车,新老国标钢厂不加价可直发，因陕钢多次出现磅差，项目拒绝使用</v>
      </c>
      <c r="M2528" s="91">
        <v>45868</v>
      </c>
      <c r="O2528" s="62">
        <f ca="1" t="shared" si="159"/>
        <v>0</v>
      </c>
      <c r="P2528" s="62">
        <f ca="1" t="shared" si="160"/>
        <v>92</v>
      </c>
      <c r="Q2528" s="29" t="str">
        <f>VLOOKUP(B2528,辅助信息!E:M,9,FALSE)</f>
        <v>ZTWM-CDGS-XS-2024-0030-华西集采-简州大道</v>
      </c>
      <c r="R2528" s="29" t="str">
        <f>_xlfn._xlws.FILTER(辅助信息!D:D,辅助信息!E:E=B2528)</f>
        <v>华西简阳西城嘉苑</v>
      </c>
    </row>
    <row r="2529" hidden="1" spans="2:18">
      <c r="B2529" s="40" t="s">
        <v>81</v>
      </c>
      <c r="C2529" s="70">
        <v>45867</v>
      </c>
      <c r="D2529" s="40" t="str">
        <f>VLOOKUP(B2529,辅助信息!E:K,7,FALSE)</f>
        <v>JWDDCD2025060900080</v>
      </c>
      <c r="E2529" s="40" t="str">
        <f>VLOOKUP(F2529,辅助信息!A:B,2,FALSE)</f>
        <v>螺纹钢</v>
      </c>
      <c r="F2529" s="40" t="s">
        <v>33</v>
      </c>
      <c r="G2529" s="36">
        <v>2.5</v>
      </c>
      <c r="H2529" s="134">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09" t="str">
        <f>VLOOKUP(B2529,辅助信息!E:J,6,FALSE)</f>
        <v>现场禁止使用氢能源挂车！优先威钢发货,我方卸车,新老国标钢厂不加价可直发，因陕钢多次出现磅差，项目拒绝使用</v>
      </c>
      <c r="M2529" s="91">
        <v>45868</v>
      </c>
      <c r="O2529" s="62">
        <f ca="1" t="shared" si="159"/>
        <v>0</v>
      </c>
      <c r="P2529" s="62">
        <f ca="1" t="shared" si="160"/>
        <v>92</v>
      </c>
      <c r="Q2529" s="29" t="str">
        <f>VLOOKUP(B2529,辅助信息!E:M,9,FALSE)</f>
        <v>ZTWM-CDGS-XS-2024-0030-华西集采-简州大道</v>
      </c>
      <c r="R2529" s="29" t="str">
        <f>_xlfn._xlws.FILTER(辅助信息!D:D,辅助信息!E:E=B2529)</f>
        <v>华西简阳西城嘉苑</v>
      </c>
    </row>
    <row r="2530" hidden="1" spans="2:18">
      <c r="B2530" s="40" t="s">
        <v>81</v>
      </c>
      <c r="C2530" s="70">
        <v>45867</v>
      </c>
      <c r="D2530" s="40" t="str">
        <f>VLOOKUP(B2530,辅助信息!E:K,7,FALSE)</f>
        <v>JWDDCD2025060900080</v>
      </c>
      <c r="E2530" s="40" t="str">
        <f>VLOOKUP(F2530,辅助信息!A:B,2,FALSE)</f>
        <v>螺纹钢</v>
      </c>
      <c r="F2530" s="40" t="s">
        <v>58</v>
      </c>
      <c r="G2530" s="36">
        <v>7</v>
      </c>
      <c r="H2530" s="134"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09" t="str">
        <f>VLOOKUP(B2530,辅助信息!E:J,6,FALSE)</f>
        <v>现场禁止使用氢能源挂车！优先威钢发货,我方卸车,新老国标钢厂不加价可直发，因陕钢多次出现磅差，项目拒绝使用</v>
      </c>
      <c r="M2530" s="91">
        <v>45868</v>
      </c>
      <c r="O2530" s="62">
        <f ca="1" t="shared" si="159"/>
        <v>0</v>
      </c>
      <c r="P2530" s="62">
        <f ca="1" t="shared" si="160"/>
        <v>92</v>
      </c>
      <c r="Q2530" s="29" t="str">
        <f>VLOOKUP(B2530,辅助信息!E:M,9,FALSE)</f>
        <v>ZTWM-CDGS-XS-2024-0030-华西集采-简州大道</v>
      </c>
      <c r="R2530" s="29" t="str">
        <f>_xlfn._xlws.FILTER(辅助信息!D:D,辅助信息!E:E=B2530)</f>
        <v>华西简阳西城嘉苑</v>
      </c>
    </row>
    <row r="2531" hidden="1" spans="2:18">
      <c r="B2531" s="40" t="s">
        <v>81</v>
      </c>
      <c r="C2531" s="70">
        <v>45867</v>
      </c>
      <c r="D2531" s="40" t="str">
        <f>VLOOKUP(B2531,辅助信息!E:K,7,FALSE)</f>
        <v>JWDDCD2025060900080</v>
      </c>
      <c r="E2531" s="40" t="str">
        <f>VLOOKUP(F2531,辅助信息!A:B,2,FALSE)</f>
        <v>螺纹钢</v>
      </c>
      <c r="F2531" s="40" t="s">
        <v>46</v>
      </c>
      <c r="G2531" s="36">
        <v>5</v>
      </c>
      <c r="H2531" s="134"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09" t="str">
        <f>VLOOKUP(B2531,辅助信息!E:J,6,FALSE)</f>
        <v>现场禁止使用氢能源挂车！优先威钢发货,我方卸车,新老国标钢厂不加价可直发，因陕钢多次出现磅差，项目拒绝使用</v>
      </c>
      <c r="M2531" s="91">
        <v>45868</v>
      </c>
      <c r="O2531" s="62">
        <f ca="1" t="shared" si="159"/>
        <v>0</v>
      </c>
      <c r="P2531" s="62">
        <f ca="1" t="shared" si="160"/>
        <v>92</v>
      </c>
      <c r="Q2531" s="29" t="str">
        <f>VLOOKUP(B2531,辅助信息!E:M,9,FALSE)</f>
        <v>ZTWM-CDGS-XS-2024-0030-华西集采-简州大道</v>
      </c>
      <c r="R2531" s="29" t="str">
        <f>_xlfn._xlws.FILTER(辅助信息!D:D,辅助信息!E:E=B2531)</f>
        <v>华西简阳西城嘉苑</v>
      </c>
    </row>
    <row r="2532" hidden="1" spans="2:18">
      <c r="B2532" s="40" t="s">
        <v>81</v>
      </c>
      <c r="C2532" s="70">
        <v>45867</v>
      </c>
      <c r="D2532" s="40" t="str">
        <f>VLOOKUP(B2532,辅助信息!E:K,7,FALSE)</f>
        <v>JWDDCD2025060900080</v>
      </c>
      <c r="E2532" s="40" t="str">
        <f>VLOOKUP(F2532,辅助信息!A:B,2,FALSE)</f>
        <v>螺纹钢</v>
      </c>
      <c r="F2532" s="40" t="s">
        <v>22</v>
      </c>
      <c r="G2532" s="36">
        <v>20</v>
      </c>
      <c r="H2532" s="134"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09" t="str">
        <f>VLOOKUP(B2532,辅助信息!E:J,6,FALSE)</f>
        <v>现场禁止使用氢能源挂车！优先威钢发货,我方卸车,新老国标钢厂不加价可直发，因陕钢多次出现磅差，项目拒绝使用</v>
      </c>
      <c r="M2532" s="91">
        <v>45868</v>
      </c>
      <c r="O2532" s="62">
        <f ca="1" t="shared" si="159"/>
        <v>0</v>
      </c>
      <c r="P2532" s="62">
        <f ca="1" t="shared" si="160"/>
        <v>92</v>
      </c>
      <c r="Q2532" s="29" t="str">
        <f>VLOOKUP(B2532,辅助信息!E:M,9,FALSE)</f>
        <v>ZTWM-CDGS-XS-2024-0030-华西集采-简州大道</v>
      </c>
      <c r="R2532" s="29" t="str">
        <f>_xlfn._xlws.FILTER(辅助信息!D:D,辅助信息!E:E=B2532)</f>
        <v>华西简阳西城嘉苑</v>
      </c>
    </row>
    <row r="2533" hidden="1" spans="2:18">
      <c r="B2533" s="40" t="s">
        <v>194</v>
      </c>
      <c r="C2533" s="70">
        <v>45867</v>
      </c>
      <c r="D2533" s="40" t="str">
        <f>VLOOKUP(B2533,辅助信息!E:K,7,FALSE)</f>
        <v>JWDD2025071500089</v>
      </c>
      <c r="E2533" s="40" t="str">
        <f>VLOOKUP(F2533,辅助信息!A:B,2,FALSE)</f>
        <v>盘螺</v>
      </c>
      <c r="F2533" s="40" t="s">
        <v>49</v>
      </c>
      <c r="G2533" s="36">
        <v>6</v>
      </c>
      <c r="H2533" s="134"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09" t="str">
        <f>VLOOKUP(B2533,辅助信息!E:J,6,FALSE)</f>
        <v>现场要求调度统一联系指定收货人，不单独发司机位置。锈货不收，装货前联系收货人核实到场规格,没提前告知进场规格现场不给予接收</v>
      </c>
      <c r="M2533" s="91">
        <v>45868</v>
      </c>
      <c r="O2533" s="62">
        <f ca="1" t="shared" si="159"/>
        <v>0</v>
      </c>
      <c r="P2533" s="62">
        <f ca="1" t="shared" si="160"/>
        <v>92</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0">
        <v>45867</v>
      </c>
      <c r="D2534" s="40" t="str">
        <f>VLOOKUP(B2534,辅助信息!E:K,7,FALSE)</f>
        <v>JWDD2025071500089</v>
      </c>
      <c r="E2534" s="40" t="str">
        <f>VLOOKUP(F2534,辅助信息!A:B,2,FALSE)</f>
        <v>盘螺</v>
      </c>
      <c r="F2534" s="40" t="s">
        <v>40</v>
      </c>
      <c r="G2534" s="36">
        <v>10</v>
      </c>
      <c r="H2534" s="134"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09" t="str">
        <f>VLOOKUP(B2534,辅助信息!E:J,6,FALSE)</f>
        <v>现场要求调度统一联系指定收货人，不单独发司机位置。锈货不收，装货前联系收货人核实到场规格,没提前告知进场规格现场不给予接收</v>
      </c>
      <c r="M2534" s="91">
        <v>45868</v>
      </c>
      <c r="O2534" s="62">
        <f ca="1" t="shared" si="159"/>
        <v>0</v>
      </c>
      <c r="P2534" s="62">
        <f ca="1" t="shared" si="160"/>
        <v>92</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0">
        <v>45867</v>
      </c>
      <c r="D2535" s="40" t="str">
        <f>VLOOKUP(B2535,辅助信息!E:K,7,FALSE)</f>
        <v>JWDD2025071500089</v>
      </c>
      <c r="E2535" s="40" t="str">
        <f>VLOOKUP(F2535,辅助信息!A:B,2,FALSE)</f>
        <v>盘螺</v>
      </c>
      <c r="F2535" s="40" t="s">
        <v>41</v>
      </c>
      <c r="G2535" s="36">
        <v>8</v>
      </c>
      <c r="H2535" s="134">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09" t="str">
        <f>VLOOKUP(B2535,辅助信息!E:J,6,FALSE)</f>
        <v>现场要求调度统一联系指定收货人，不单独发司机位置。锈货不收，装货前联系收货人核实到场规格,没提前告知进场规格现场不给予接收</v>
      </c>
      <c r="M2535" s="91">
        <v>45868</v>
      </c>
      <c r="O2535" s="62">
        <f ca="1" t="shared" si="159"/>
        <v>0</v>
      </c>
      <c r="P2535" s="62">
        <f ca="1" t="shared" si="160"/>
        <v>92</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0">
        <v>45867</v>
      </c>
      <c r="D2536" s="40" t="str">
        <f>VLOOKUP(B2536,辅助信息!E:K,7,FALSE)</f>
        <v>JWDD2025071500089</v>
      </c>
      <c r="E2536" s="40" t="str">
        <f>VLOOKUP(F2536,辅助信息!A:B,2,FALSE)</f>
        <v>盘螺</v>
      </c>
      <c r="F2536" s="40" t="s">
        <v>26</v>
      </c>
      <c r="G2536" s="36">
        <v>16</v>
      </c>
      <c r="H2536" s="134"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09" t="str">
        <f>VLOOKUP(B2536,辅助信息!E:J,6,FALSE)</f>
        <v>现场要求调度统一联系指定收货人，不单独发司机位置。锈货不收，装货前联系收货人核实到场规格,没提前告知进场规格现场不给予接收</v>
      </c>
      <c r="M2536" s="91">
        <v>45868</v>
      </c>
      <c r="O2536" s="62">
        <f ca="1" t="shared" si="159"/>
        <v>0</v>
      </c>
      <c r="P2536" s="62">
        <f ca="1" t="shared" si="160"/>
        <v>92</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0">
        <v>45867</v>
      </c>
      <c r="D2537" s="40" t="str">
        <f>VLOOKUP(B2537,辅助信息!E:K,7,FALSE)</f>
        <v>JWDD2025071500089</v>
      </c>
      <c r="E2537" s="40" t="str">
        <f>VLOOKUP(F2537,辅助信息!A:B,2,FALSE)</f>
        <v>螺纹钢</v>
      </c>
      <c r="F2537" s="40" t="s">
        <v>32</v>
      </c>
      <c r="G2537" s="36">
        <v>34</v>
      </c>
      <c r="H2537" s="134">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09" t="str">
        <f>VLOOKUP(B2537,辅助信息!E:J,6,FALSE)</f>
        <v>现场要求调度统一联系指定收货人，不单独发司机位置。锈货不收，装货前联系收货人核实到场规格,没提前告知进场规格现场不给予接收</v>
      </c>
      <c r="M2537" s="91">
        <v>45868</v>
      </c>
      <c r="O2537" s="62">
        <f ca="1" t="shared" si="159"/>
        <v>0</v>
      </c>
      <c r="P2537" s="62">
        <f ca="1" t="shared" si="160"/>
        <v>92</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0">
        <v>45867</v>
      </c>
      <c r="D2538" s="40" t="str">
        <f>VLOOKUP(B2538,辅助信息!E:K,7,FALSE)</f>
        <v>JWDD2025071500089</v>
      </c>
      <c r="E2538" s="40" t="str">
        <f>VLOOKUP(F2538,辅助信息!A:B,2,FALSE)</f>
        <v>螺纹钢</v>
      </c>
      <c r="F2538" s="40" t="s">
        <v>30</v>
      </c>
      <c r="G2538" s="36">
        <v>10</v>
      </c>
      <c r="H2538" s="134"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09" t="str">
        <f>VLOOKUP(B2538,辅助信息!E:J,6,FALSE)</f>
        <v>现场要求调度统一联系指定收货人，不单独发司机位置。锈货不收，装货前联系收货人核实到场规格,没提前告知进场规格现场不给予接收</v>
      </c>
      <c r="M2538" s="91">
        <v>45868</v>
      </c>
      <c r="O2538" s="62">
        <f ca="1" t="shared" si="159"/>
        <v>0</v>
      </c>
      <c r="P2538" s="62">
        <f ca="1" t="shared" si="160"/>
        <v>92</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0">
        <v>45867</v>
      </c>
      <c r="D2539" s="40" t="str">
        <f>VLOOKUP(B2539,辅助信息!E:K,7,FALSE)</f>
        <v>JWDD2025071500089</v>
      </c>
      <c r="E2539" s="40" t="str">
        <f>VLOOKUP(F2539,辅助信息!A:B,2,FALSE)</f>
        <v>螺纹钢</v>
      </c>
      <c r="F2539" s="40" t="s">
        <v>33</v>
      </c>
      <c r="G2539" s="36">
        <v>8</v>
      </c>
      <c r="H2539" s="134"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09" t="str">
        <f>VLOOKUP(B2539,辅助信息!E:J,6,FALSE)</f>
        <v>现场要求调度统一联系指定收货人，不单独发司机位置。锈货不收，装货前联系收货人核实到场规格,没提前告知进场规格现场不给予接收</v>
      </c>
      <c r="M2539" s="91">
        <v>45868</v>
      </c>
      <c r="O2539" s="62">
        <f ca="1" t="shared" si="159"/>
        <v>0</v>
      </c>
      <c r="P2539" s="62">
        <f ca="1" t="shared" si="160"/>
        <v>92</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0">
        <v>45867</v>
      </c>
      <c r="D2540" s="40" t="str">
        <f>VLOOKUP(B2540,辅助信息!E:K,7,FALSE)</f>
        <v>JWDD2025071500089</v>
      </c>
      <c r="E2540" s="40" t="str">
        <f>VLOOKUP(F2540,辅助信息!A:B,2,FALSE)</f>
        <v>螺纹钢</v>
      </c>
      <c r="F2540" s="40" t="s">
        <v>28</v>
      </c>
      <c r="G2540" s="36">
        <v>20</v>
      </c>
      <c r="H2540" s="134"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09" t="str">
        <f>VLOOKUP(B2540,辅助信息!E:J,6,FALSE)</f>
        <v>现场要求调度统一联系指定收货人，不单独发司机位置。锈货不收，装货前联系收货人核实到场规格,没提前告知进场规格现场不给予接收</v>
      </c>
      <c r="M2540" s="91">
        <v>45868</v>
      </c>
      <c r="O2540" s="62">
        <f ca="1" t="shared" si="159"/>
        <v>0</v>
      </c>
      <c r="P2540" s="62">
        <f ca="1" t="shared" si="160"/>
        <v>92</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0">
        <v>45867</v>
      </c>
      <c r="D2541" s="40" t="str">
        <f>VLOOKUP(B2541,辅助信息!E:K,7,FALSE)</f>
        <v>JWDD2025071500089</v>
      </c>
      <c r="E2541" s="40" t="str">
        <f>VLOOKUP(F2541,辅助信息!A:B,2,FALSE)</f>
        <v>螺纹钢</v>
      </c>
      <c r="F2541" s="40" t="s">
        <v>18</v>
      </c>
      <c r="G2541" s="36">
        <v>42</v>
      </c>
      <c r="H2541" s="134">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09" t="str">
        <f>VLOOKUP(B2541,辅助信息!E:J,6,FALSE)</f>
        <v>现场要求调度统一联系指定收货人，不单独发司机位置。锈货不收，装货前联系收货人核实到场规格,没提前告知进场规格现场不给予接收</v>
      </c>
      <c r="M2541" s="91">
        <v>45868</v>
      </c>
      <c r="O2541" s="62">
        <f ca="1" t="shared" si="159"/>
        <v>0</v>
      </c>
      <c r="P2541" s="62">
        <f ca="1" t="shared" si="160"/>
        <v>92</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0">
        <v>45867</v>
      </c>
      <c r="D2542" s="40" t="str">
        <f>VLOOKUP(B2542,辅助信息!E:K,7,FALSE)</f>
        <v>JWDDCD2025072900123</v>
      </c>
      <c r="E2542" s="40" t="str">
        <f>VLOOKUP(F2542,辅助信息!A:B,2,FALSE)</f>
        <v>螺纹钢</v>
      </c>
      <c r="F2542" s="40" t="s">
        <v>205</v>
      </c>
      <c r="G2542" s="36">
        <v>3</v>
      </c>
      <c r="H2542" s="134">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09" t="str">
        <f>VLOOKUP(B2542,辅助信息!E:J,6,FALSE)</f>
        <v>联系实际收货人（彭江涛13990276572）现场要求炉批号控制2个以下，超2个不给予签收。提前联系到场规格及数量</v>
      </c>
      <c r="M2542" s="91">
        <v>45868</v>
      </c>
      <c r="O2542" s="62">
        <f ca="1" t="shared" si="159"/>
        <v>0</v>
      </c>
      <c r="P2542" s="62">
        <f ca="1" t="shared" si="160"/>
        <v>92</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0">
        <v>45867</v>
      </c>
      <c r="D2543" s="40" t="str">
        <f>VLOOKUP(B2543,辅助信息!E:K,7,FALSE)</f>
        <v>JWDDCD2025072900123</v>
      </c>
      <c r="E2543" s="40" t="str">
        <f>VLOOKUP(F2543,辅助信息!A:B,2,FALSE)</f>
        <v>螺纹钢</v>
      </c>
      <c r="F2543" s="40" t="s">
        <v>140</v>
      </c>
      <c r="G2543" s="36" t="s">
        <v>206</v>
      </c>
      <c r="H2543" s="134">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09" t="str">
        <f>VLOOKUP(B2543,辅助信息!E:J,6,FALSE)</f>
        <v>联系实际收货人（彭江涛13990276572）现场要求炉批号控制2个以下，超2个不给予签收。提前联系到场规格及数量</v>
      </c>
      <c r="M2543" s="91">
        <v>45868</v>
      </c>
      <c r="O2543" s="62">
        <f ca="1" t="shared" si="159"/>
        <v>0</v>
      </c>
      <c r="P2543" s="62">
        <f ca="1" t="shared" si="160"/>
        <v>92</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0">
        <v>45867</v>
      </c>
      <c r="D2544" s="40" t="str">
        <f>VLOOKUP(B2544,辅助信息!E:K,7,FALSE)</f>
        <v>JWDDCD2025072900123</v>
      </c>
      <c r="E2544" s="40" t="str">
        <f>VLOOKUP(F2544,辅助信息!A:B,2,FALSE)</f>
        <v>螺纹钢</v>
      </c>
      <c r="F2544" s="40" t="s">
        <v>197</v>
      </c>
      <c r="G2544" s="36">
        <v>2.5</v>
      </c>
      <c r="H2544" s="134">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09" t="str">
        <f>VLOOKUP(B2544,辅助信息!E:J,6,FALSE)</f>
        <v>联系实际收货人（彭江涛13990276572）现场要求炉批号控制2个以下，超2个不给予签收。提前联系到场规格及数量</v>
      </c>
      <c r="M2544" s="91">
        <v>45868</v>
      </c>
      <c r="O2544" s="62">
        <f ca="1" t="shared" si="159"/>
        <v>0</v>
      </c>
      <c r="P2544" s="62">
        <f ca="1" t="shared" si="160"/>
        <v>92</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0">
        <v>45867</v>
      </c>
      <c r="D2545" s="40" t="str">
        <f>VLOOKUP(B2545,辅助信息!E:K,7,FALSE)</f>
        <v>JWDDCD2025072900123</v>
      </c>
      <c r="E2545" s="40" t="str">
        <f>VLOOKUP(F2545,辅助信息!A:B,2,FALSE)</f>
        <v>螺纹钢</v>
      </c>
      <c r="F2545" s="40" t="s">
        <v>198</v>
      </c>
      <c r="G2545" s="36">
        <v>2.5</v>
      </c>
      <c r="H2545" s="134">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09" t="str">
        <f>VLOOKUP(B2545,辅助信息!E:J,6,FALSE)</f>
        <v>联系实际收货人（彭江涛13990276572）现场要求炉批号控制2个以下，超2个不给予签收。提前联系到场规格及数量</v>
      </c>
      <c r="M2545" s="91">
        <v>45868</v>
      </c>
      <c r="O2545" s="62">
        <f ca="1" t="shared" si="159"/>
        <v>0</v>
      </c>
      <c r="P2545" s="62">
        <f ca="1" t="shared" si="160"/>
        <v>92</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0">
        <v>45867</v>
      </c>
      <c r="D2546" s="40" t="str">
        <f>VLOOKUP(B2546,辅助信息!E:K,7,FALSE)</f>
        <v>JWDDCD2025072900123</v>
      </c>
      <c r="E2546" s="40" t="str">
        <f>VLOOKUP(F2546,辅助信息!A:B,2,FALSE)</f>
        <v>螺纹钢</v>
      </c>
      <c r="F2546" s="40" t="s">
        <v>199</v>
      </c>
      <c r="G2546" s="36">
        <v>2.5</v>
      </c>
      <c r="H2546" s="134">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09" t="str">
        <f>VLOOKUP(B2546,辅助信息!E:J,6,FALSE)</f>
        <v>联系实际收货人（彭江涛13990276572）现场要求炉批号控制2个以下，超2个不给予签收。提前联系到场规格及数量</v>
      </c>
      <c r="M2546" s="91">
        <v>45868</v>
      </c>
      <c r="O2546" s="62">
        <f ca="1" t="shared" si="159"/>
        <v>0</v>
      </c>
      <c r="P2546" s="62">
        <f ca="1" t="shared" si="160"/>
        <v>92</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0">
        <v>45867</v>
      </c>
      <c r="D2547" s="40" t="str">
        <f>VLOOKUP(B2547,辅助信息!E:K,7,FALSE)</f>
        <v>JWDDCD2025072900123</v>
      </c>
      <c r="E2547" s="40" t="str">
        <f>VLOOKUP(F2547,辅助信息!A:B,2,FALSE)</f>
        <v>螺纹钢</v>
      </c>
      <c r="F2547" s="40" t="s">
        <v>141</v>
      </c>
      <c r="G2547" s="36">
        <v>7</v>
      </c>
      <c r="H2547" s="134">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09" t="str">
        <f>VLOOKUP(B2547,辅助信息!E:J,6,FALSE)</f>
        <v>联系实际收货人（彭江涛13990276572）现场要求炉批号控制2个以下，超2个不给予签收。提前联系到场规格及数量</v>
      </c>
      <c r="M2547" s="91">
        <v>45868</v>
      </c>
      <c r="O2547" s="62">
        <f ca="1" t="shared" si="159"/>
        <v>0</v>
      </c>
      <c r="P2547" s="62">
        <f ca="1" t="shared" si="160"/>
        <v>92</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0">
        <v>45867</v>
      </c>
      <c r="D2548" s="40" t="str">
        <f>VLOOKUP(B2548,辅助信息!E:K,7,FALSE)</f>
        <v>JWDDCD2025072900123</v>
      </c>
      <c r="E2548" s="40" t="str">
        <f>VLOOKUP(F2548,辅助信息!A:B,2,FALSE)</f>
        <v>螺纹钢</v>
      </c>
      <c r="F2548" s="40" t="s">
        <v>142</v>
      </c>
      <c r="G2548" s="36">
        <v>13</v>
      </c>
      <c r="H2548" s="134">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09" t="str">
        <f>VLOOKUP(B2548,辅助信息!E:J,6,FALSE)</f>
        <v>联系实际收货人（彭江涛13990276572）现场要求炉批号控制2个以下，超2个不给予签收。提前联系到场规格及数量</v>
      </c>
      <c r="M2548" s="91">
        <v>45868</v>
      </c>
      <c r="O2548" s="62">
        <f ca="1" t="shared" si="159"/>
        <v>0</v>
      </c>
      <c r="P2548" s="62">
        <f ca="1" t="shared" si="160"/>
        <v>92</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0" t="s">
        <v>81</v>
      </c>
      <c r="C2549" s="70">
        <v>45869</v>
      </c>
      <c r="D2549" s="120" t="str">
        <f>VLOOKUP(B2549,辅助信息!E:K,7,FALSE)</f>
        <v>JWDDCD2025060900080</v>
      </c>
      <c r="E2549" s="120" t="str">
        <f>VLOOKUP(F2549,辅助信息!A:B,2,FALSE)</f>
        <v>盘螺</v>
      </c>
      <c r="F2549" s="120" t="s">
        <v>49</v>
      </c>
      <c r="G2549" s="121">
        <v>2.5</v>
      </c>
      <c r="H2549" s="134">
        <f>_xlfn.XLOOKUP(C2549&amp;F2549&amp;I2549&amp;J2549,'[1]2025年已发货'!$F:$F&amp;'[1]2025年已发货'!$C:$C&amp;'[1]2025年已发货'!$G:$G&amp;'[1]2025年已发货'!$H:$H,'[1]2025年已发货'!$E:$E,"未发货")</f>
        <v>2.5</v>
      </c>
      <c r="I2549" s="120" t="str">
        <f>VLOOKUP(B2549,辅助信息!E:I,3,FALSE)</f>
        <v>（华西简阳西城嘉苑）四川省成都市简阳市简城街道高屋村</v>
      </c>
      <c r="J2549" s="120" t="str">
        <f>VLOOKUP(B2549,辅助信息!E:I,4,FALSE)</f>
        <v>张瀚镭</v>
      </c>
      <c r="K2549" s="120">
        <f>VLOOKUP(J2549,辅助信息!H:I,2,FALSE)</f>
        <v>15884666220</v>
      </c>
      <c r="L2549" s="122" t="str">
        <f>VLOOKUP(B2549,辅助信息!E:J,6,FALSE)</f>
        <v>现场禁止使用氢能源挂车！优先威钢发货,我方卸车,新老国标钢厂不加价可直发，因陕钢多次出现磅差，项目拒绝使用</v>
      </c>
      <c r="M2549" s="91">
        <v>45870</v>
      </c>
      <c r="O2549" s="62">
        <f ca="1" t="shared" si="159"/>
        <v>0</v>
      </c>
      <c r="P2549" s="62">
        <f ca="1" t="shared" si="160"/>
        <v>90</v>
      </c>
      <c r="Q2549" s="29" t="str">
        <f>VLOOKUP(B2549,辅助信息!E:M,9,FALSE)</f>
        <v>ZTWM-CDGS-XS-2024-0030-华西集采-简州大道</v>
      </c>
      <c r="R2549" s="29" t="str">
        <f>_xlfn._xlws.FILTER(辅助信息!D:D,辅助信息!E:E=B2549)</f>
        <v>华西简阳西城嘉苑</v>
      </c>
    </row>
    <row r="2550" hidden="1" spans="2:18">
      <c r="B2550" s="120" t="s">
        <v>81</v>
      </c>
      <c r="C2550" s="70">
        <v>45869</v>
      </c>
      <c r="D2550" s="120" t="str">
        <f>VLOOKUP(B2550,辅助信息!E:K,7,FALSE)</f>
        <v>JWDDCD2025060900080</v>
      </c>
      <c r="E2550" s="120" t="str">
        <f>VLOOKUP(F2550,辅助信息!A:B,2,FALSE)</f>
        <v>盘螺</v>
      </c>
      <c r="F2550" s="120" t="s">
        <v>40</v>
      </c>
      <c r="G2550" s="121">
        <v>9</v>
      </c>
      <c r="H2550" s="134">
        <f>_xlfn.XLOOKUP(C2550&amp;F2550&amp;I2550&amp;J2550,'[1]2025年已发货'!$F:$F&amp;'[1]2025年已发货'!$C:$C&amp;'[1]2025年已发货'!$G:$G&amp;'[1]2025年已发货'!$H:$H,'[1]2025年已发货'!$E:$E,"未发货")</f>
        <v>9</v>
      </c>
      <c r="I2550" s="120" t="str">
        <f>VLOOKUP(B2550,辅助信息!E:I,3,FALSE)</f>
        <v>（华西简阳西城嘉苑）四川省成都市简阳市简城街道高屋村</v>
      </c>
      <c r="J2550" s="120" t="str">
        <f>VLOOKUP(B2550,辅助信息!E:I,4,FALSE)</f>
        <v>张瀚镭</v>
      </c>
      <c r="K2550" s="120">
        <f>VLOOKUP(J2550,辅助信息!H:I,2,FALSE)</f>
        <v>15884666220</v>
      </c>
      <c r="L2550" s="122" t="str">
        <f>VLOOKUP(B2550,辅助信息!E:J,6,FALSE)</f>
        <v>现场禁止使用氢能源挂车！优先威钢发货,我方卸车,新老国标钢厂不加价可直发，因陕钢多次出现磅差，项目拒绝使用</v>
      </c>
      <c r="M2550" s="91">
        <v>45870</v>
      </c>
      <c r="O2550" s="62">
        <f ca="1" t="shared" si="159"/>
        <v>0</v>
      </c>
      <c r="P2550" s="62">
        <f ca="1" t="shared" si="160"/>
        <v>90</v>
      </c>
      <c r="Q2550" s="29" t="str">
        <f>VLOOKUP(B2550,辅助信息!E:M,9,FALSE)</f>
        <v>ZTWM-CDGS-XS-2024-0030-华西集采-简州大道</v>
      </c>
      <c r="R2550" s="29" t="str">
        <f>_xlfn._xlws.FILTER(辅助信息!D:D,辅助信息!E:E=B2550)</f>
        <v>华西简阳西城嘉苑</v>
      </c>
    </row>
    <row r="2551" hidden="1" spans="2:18">
      <c r="B2551" s="120" t="s">
        <v>81</v>
      </c>
      <c r="C2551" s="70">
        <v>45869</v>
      </c>
      <c r="D2551" s="120" t="str">
        <f>VLOOKUP(B2551,辅助信息!E:K,7,FALSE)</f>
        <v>JWDDCD2025060900080</v>
      </c>
      <c r="E2551" s="120" t="str">
        <f>VLOOKUP(F2551,辅助信息!A:B,2,FALSE)</f>
        <v>盘螺</v>
      </c>
      <c r="F2551" s="120" t="s">
        <v>41</v>
      </c>
      <c r="G2551" s="121">
        <v>37</v>
      </c>
      <c r="H2551" s="134">
        <f>_xlfn.XLOOKUP(C2551&amp;F2551&amp;I2551&amp;J2551,'[1]2025年已发货'!$F:$F&amp;'[1]2025年已发货'!$C:$C&amp;'[1]2025年已发货'!$G:$G&amp;'[1]2025年已发货'!$H:$H,'[1]2025年已发货'!$E:$E,"未发货")</f>
        <v>37</v>
      </c>
      <c r="I2551" s="120" t="str">
        <f>VLOOKUP(B2551,辅助信息!E:I,3,FALSE)</f>
        <v>（华西简阳西城嘉苑）四川省成都市简阳市简城街道高屋村</v>
      </c>
      <c r="J2551" s="120" t="str">
        <f>VLOOKUP(B2551,辅助信息!E:I,4,FALSE)</f>
        <v>张瀚镭</v>
      </c>
      <c r="K2551" s="120">
        <f>VLOOKUP(J2551,辅助信息!H:I,2,FALSE)</f>
        <v>15884666220</v>
      </c>
      <c r="L2551" s="122" t="str">
        <f>VLOOKUP(B2551,辅助信息!E:J,6,FALSE)</f>
        <v>现场禁止使用氢能源挂车！优先威钢发货,我方卸车,新老国标钢厂不加价可直发，因陕钢多次出现磅差，项目拒绝使用</v>
      </c>
      <c r="M2551" s="91">
        <v>45870</v>
      </c>
      <c r="O2551" s="62">
        <f ca="1" t="shared" si="159"/>
        <v>0</v>
      </c>
      <c r="P2551" s="62">
        <f ca="1" t="shared" si="160"/>
        <v>90</v>
      </c>
      <c r="Q2551" s="29" t="str">
        <f>VLOOKUP(B2551,辅助信息!E:M,9,FALSE)</f>
        <v>ZTWM-CDGS-XS-2024-0030-华西集采-简州大道</v>
      </c>
      <c r="R2551" s="29" t="str">
        <f>_xlfn._xlws.FILTER(辅助信息!D:D,辅助信息!E:E=B2551)</f>
        <v>华西简阳西城嘉苑</v>
      </c>
    </row>
    <row r="2552" hidden="1" spans="2:18">
      <c r="B2552" s="120" t="s">
        <v>81</v>
      </c>
      <c r="C2552" s="70">
        <v>45869</v>
      </c>
      <c r="D2552" s="120" t="str">
        <f>VLOOKUP(B2552,辅助信息!E:K,7,FALSE)</f>
        <v>JWDDCD2025060900080</v>
      </c>
      <c r="E2552" s="120" t="str">
        <f>VLOOKUP(F2552,辅助信息!A:B,2,FALSE)</f>
        <v>盘螺</v>
      </c>
      <c r="F2552" s="120" t="s">
        <v>26</v>
      </c>
      <c r="G2552" s="121">
        <v>4</v>
      </c>
      <c r="H2552" s="134">
        <f>_xlfn.XLOOKUP(C2552&amp;F2552&amp;I2552&amp;J2552,'[1]2025年已发货'!$F:$F&amp;'[1]2025年已发货'!$C:$C&amp;'[1]2025年已发货'!$G:$G&amp;'[1]2025年已发货'!$H:$H,'[1]2025年已发货'!$E:$E,"未发货")</f>
        <v>4</v>
      </c>
      <c r="I2552" s="120" t="str">
        <f>VLOOKUP(B2552,辅助信息!E:I,3,FALSE)</f>
        <v>（华西简阳西城嘉苑）四川省成都市简阳市简城街道高屋村</v>
      </c>
      <c r="J2552" s="120" t="str">
        <f>VLOOKUP(B2552,辅助信息!E:I,4,FALSE)</f>
        <v>张瀚镭</v>
      </c>
      <c r="K2552" s="120">
        <f>VLOOKUP(J2552,辅助信息!H:I,2,FALSE)</f>
        <v>15884666220</v>
      </c>
      <c r="L2552" s="122" t="str">
        <f>VLOOKUP(B2552,辅助信息!E:J,6,FALSE)</f>
        <v>现场禁止使用氢能源挂车！优先威钢发货,我方卸车,新老国标钢厂不加价可直发，因陕钢多次出现磅差，项目拒绝使用</v>
      </c>
      <c r="M2552" s="91">
        <v>45870</v>
      </c>
      <c r="O2552" s="62">
        <f ca="1" t="shared" si="159"/>
        <v>0</v>
      </c>
      <c r="P2552" s="62">
        <f ca="1" t="shared" si="160"/>
        <v>90</v>
      </c>
      <c r="Q2552" s="29" t="str">
        <f>VLOOKUP(B2552,辅助信息!E:M,9,FALSE)</f>
        <v>ZTWM-CDGS-XS-2024-0030-华西集采-简州大道</v>
      </c>
      <c r="R2552" s="29" t="str">
        <f>_xlfn._xlws.FILTER(辅助信息!D:D,辅助信息!E:E=B2552)</f>
        <v>华西简阳西城嘉苑</v>
      </c>
    </row>
    <row r="2553" hidden="1" spans="2:18">
      <c r="B2553" s="120" t="s">
        <v>81</v>
      </c>
      <c r="C2553" s="70">
        <v>45869</v>
      </c>
      <c r="D2553" s="120" t="str">
        <f>VLOOKUP(B2553,辅助信息!E:K,7,FALSE)</f>
        <v>JWDDCD2025060900080</v>
      </c>
      <c r="E2553" s="120" t="str">
        <f>VLOOKUP(F2553,辅助信息!A:B,2,FALSE)</f>
        <v>螺纹钢</v>
      </c>
      <c r="F2553" s="120" t="s">
        <v>19</v>
      </c>
      <c r="G2553" s="121">
        <v>10</v>
      </c>
      <c r="H2553" s="134">
        <f>_xlfn.XLOOKUP(C2553&amp;F2553&amp;I2553&amp;J2553,'[1]2025年已发货'!$F:$F&amp;'[1]2025年已发货'!$C:$C&amp;'[1]2025年已发货'!$G:$G&amp;'[1]2025年已发货'!$H:$H,'[1]2025年已发货'!$E:$E,"未发货")</f>
        <v>10</v>
      </c>
      <c r="I2553" s="120" t="str">
        <f>VLOOKUP(B2553,辅助信息!E:I,3,FALSE)</f>
        <v>（华西简阳西城嘉苑）四川省成都市简阳市简城街道高屋村</v>
      </c>
      <c r="J2553" s="120" t="str">
        <f>VLOOKUP(B2553,辅助信息!E:I,4,FALSE)</f>
        <v>张瀚镭</v>
      </c>
      <c r="K2553" s="120">
        <f>VLOOKUP(J2553,辅助信息!H:I,2,FALSE)</f>
        <v>15884666220</v>
      </c>
      <c r="L2553" s="122" t="str">
        <f>VLOOKUP(B2553,辅助信息!E:J,6,FALSE)</f>
        <v>现场禁止使用氢能源挂车！优先威钢发货,我方卸车,新老国标钢厂不加价可直发，因陕钢多次出现磅差，项目拒绝使用</v>
      </c>
      <c r="M2553" s="91">
        <v>45870</v>
      </c>
      <c r="O2553" s="62">
        <f ca="1" t="shared" si="159"/>
        <v>0</v>
      </c>
      <c r="P2553" s="62">
        <f ca="1" t="shared" si="160"/>
        <v>90</v>
      </c>
      <c r="Q2553" s="29" t="str">
        <f>VLOOKUP(B2553,辅助信息!E:M,9,FALSE)</f>
        <v>ZTWM-CDGS-XS-2024-0030-华西集采-简州大道</v>
      </c>
      <c r="R2553" s="29" t="str">
        <f>_xlfn._xlws.FILTER(辅助信息!D:D,辅助信息!E:E=B2553)</f>
        <v>华西简阳西城嘉苑</v>
      </c>
    </row>
    <row r="2554" hidden="1" spans="2:18">
      <c r="B2554" s="120" t="s">
        <v>81</v>
      </c>
      <c r="C2554" s="70">
        <v>45869</v>
      </c>
      <c r="D2554" s="120" t="str">
        <f>VLOOKUP(B2554,辅助信息!E:K,7,FALSE)</f>
        <v>JWDDCD2025060900080</v>
      </c>
      <c r="E2554" s="120" t="str">
        <f>VLOOKUP(F2554,辅助信息!A:B,2,FALSE)</f>
        <v>螺纹钢</v>
      </c>
      <c r="F2554" s="120" t="s">
        <v>32</v>
      </c>
      <c r="G2554" s="121">
        <v>6</v>
      </c>
      <c r="H2554" s="134">
        <f>_xlfn.XLOOKUP(C2554&amp;F2554&amp;I2554&amp;J2554,'[1]2025年已发货'!$F:$F&amp;'[1]2025年已发货'!$C:$C&amp;'[1]2025年已发货'!$G:$G&amp;'[1]2025年已发货'!$H:$H,'[1]2025年已发货'!$E:$E,"未发货")</f>
        <v>6</v>
      </c>
      <c r="I2554" s="120" t="str">
        <f>VLOOKUP(B2554,辅助信息!E:I,3,FALSE)</f>
        <v>（华西简阳西城嘉苑）四川省成都市简阳市简城街道高屋村</v>
      </c>
      <c r="J2554" s="120" t="str">
        <f>VLOOKUP(B2554,辅助信息!E:I,4,FALSE)</f>
        <v>张瀚镭</v>
      </c>
      <c r="K2554" s="120">
        <f>VLOOKUP(J2554,辅助信息!H:I,2,FALSE)</f>
        <v>15884666220</v>
      </c>
      <c r="L2554" s="122" t="str">
        <f>VLOOKUP(B2554,辅助信息!E:J,6,FALSE)</f>
        <v>现场禁止使用氢能源挂车！优先威钢发货,我方卸车,新老国标钢厂不加价可直发，因陕钢多次出现磅差，项目拒绝使用</v>
      </c>
      <c r="M2554" s="91">
        <v>45870</v>
      </c>
      <c r="O2554" s="62">
        <f ca="1" t="shared" si="159"/>
        <v>0</v>
      </c>
      <c r="P2554" s="62">
        <f ca="1" t="shared" si="160"/>
        <v>90</v>
      </c>
      <c r="Q2554" s="29" t="str">
        <f>VLOOKUP(B2554,辅助信息!E:M,9,FALSE)</f>
        <v>ZTWM-CDGS-XS-2024-0030-华西集采-简州大道</v>
      </c>
      <c r="R2554" s="29" t="str">
        <f>_xlfn._xlws.FILTER(辅助信息!D:D,辅助信息!E:E=B2554)</f>
        <v>华西简阳西城嘉苑</v>
      </c>
    </row>
    <row r="2555" hidden="1" spans="2:18">
      <c r="B2555" s="120" t="s">
        <v>81</v>
      </c>
      <c r="C2555" s="70">
        <v>45869</v>
      </c>
      <c r="D2555" s="120" t="str">
        <f>VLOOKUP(B2555,辅助信息!E:K,7,FALSE)</f>
        <v>JWDDCD2025060900080</v>
      </c>
      <c r="E2555" s="120" t="str">
        <f>VLOOKUP(F2555,辅助信息!A:B,2,FALSE)</f>
        <v>螺纹钢</v>
      </c>
      <c r="F2555" s="120" t="s">
        <v>58</v>
      </c>
      <c r="G2555" s="121">
        <v>7</v>
      </c>
      <c r="H2555" s="134">
        <f>_xlfn.XLOOKUP(C2555&amp;F2555&amp;I2555&amp;J2555,'[1]2025年已发货'!$F:$F&amp;'[1]2025年已发货'!$C:$C&amp;'[1]2025年已发货'!$G:$G&amp;'[1]2025年已发货'!$H:$H,'[1]2025年已发货'!$E:$E,"未发货")</f>
        <v>7</v>
      </c>
      <c r="I2555" s="120" t="str">
        <f>VLOOKUP(B2555,辅助信息!E:I,3,FALSE)</f>
        <v>（华西简阳西城嘉苑）四川省成都市简阳市简城街道高屋村</v>
      </c>
      <c r="J2555" s="120" t="str">
        <f>VLOOKUP(B2555,辅助信息!E:I,4,FALSE)</f>
        <v>张瀚镭</v>
      </c>
      <c r="K2555" s="120">
        <f>VLOOKUP(J2555,辅助信息!H:I,2,FALSE)</f>
        <v>15884666220</v>
      </c>
      <c r="L2555" s="122" t="str">
        <f>VLOOKUP(B2555,辅助信息!E:J,6,FALSE)</f>
        <v>现场禁止使用氢能源挂车！优先威钢发货,我方卸车,新老国标钢厂不加价可直发，因陕钢多次出现磅差，项目拒绝使用</v>
      </c>
      <c r="M2555" s="91">
        <v>45870</v>
      </c>
      <c r="O2555" s="62">
        <f ca="1" t="shared" si="159"/>
        <v>0</v>
      </c>
      <c r="P2555" s="62">
        <f ca="1" t="shared" si="160"/>
        <v>90</v>
      </c>
      <c r="Q2555" s="29" t="str">
        <f>VLOOKUP(B2555,辅助信息!E:M,9,FALSE)</f>
        <v>ZTWM-CDGS-XS-2024-0030-华西集采-简州大道</v>
      </c>
      <c r="R2555" s="29" t="str">
        <f>_xlfn._xlws.FILTER(辅助信息!D:D,辅助信息!E:E=B2555)</f>
        <v>华西简阳西城嘉苑</v>
      </c>
    </row>
    <row r="2556" hidden="1" spans="2:18">
      <c r="B2556" s="120" t="s">
        <v>81</v>
      </c>
      <c r="C2556" s="70">
        <v>45869</v>
      </c>
      <c r="D2556" s="120" t="str">
        <f>VLOOKUP(B2556,辅助信息!E:K,7,FALSE)</f>
        <v>JWDDCD2025060900080</v>
      </c>
      <c r="E2556" s="120" t="str">
        <f>VLOOKUP(F2556,辅助信息!A:B,2,FALSE)</f>
        <v>螺纹钢</v>
      </c>
      <c r="F2556" s="120" t="s">
        <v>46</v>
      </c>
      <c r="G2556" s="121">
        <v>10</v>
      </c>
      <c r="H2556" s="134">
        <f>_xlfn.XLOOKUP(C2556&amp;F2556&amp;I2556&amp;J2556,'[1]2025年已发货'!$F:$F&amp;'[1]2025年已发货'!$C:$C&amp;'[1]2025年已发货'!$G:$G&amp;'[1]2025年已发货'!$H:$H,'[1]2025年已发货'!$E:$E,"未发货")</f>
        <v>3</v>
      </c>
      <c r="I2556" s="120" t="str">
        <f>VLOOKUP(B2556,辅助信息!E:I,3,FALSE)</f>
        <v>（华西简阳西城嘉苑）四川省成都市简阳市简城街道高屋村</v>
      </c>
      <c r="J2556" s="120" t="str">
        <f>VLOOKUP(B2556,辅助信息!E:I,4,FALSE)</f>
        <v>张瀚镭</v>
      </c>
      <c r="K2556" s="120">
        <f>VLOOKUP(J2556,辅助信息!H:I,2,FALSE)</f>
        <v>15884666220</v>
      </c>
      <c r="L2556" s="122" t="str">
        <f>VLOOKUP(B2556,辅助信息!E:J,6,FALSE)</f>
        <v>现场禁止使用氢能源挂车！优先威钢发货,我方卸车,新老国标钢厂不加价可直发，因陕钢多次出现磅差，项目拒绝使用</v>
      </c>
      <c r="M2556" s="91">
        <v>45870</v>
      </c>
      <c r="O2556" s="62">
        <f ca="1" t="shared" si="159"/>
        <v>0</v>
      </c>
      <c r="P2556" s="62">
        <f ca="1" t="shared" si="160"/>
        <v>90</v>
      </c>
      <c r="Q2556" s="29" t="str">
        <f>VLOOKUP(B2556,辅助信息!E:M,9,FALSE)</f>
        <v>ZTWM-CDGS-XS-2024-0030-华西集采-简州大道</v>
      </c>
      <c r="R2556" s="29" t="str">
        <f>_xlfn._xlws.FILTER(辅助信息!D:D,辅助信息!E:E=B2556)</f>
        <v>华西简阳西城嘉苑</v>
      </c>
    </row>
    <row r="2557" hidden="1" spans="2:18">
      <c r="B2557" s="120" t="s">
        <v>81</v>
      </c>
      <c r="C2557" s="70">
        <v>45869</v>
      </c>
      <c r="D2557" s="120" t="str">
        <f>VLOOKUP(B2557,辅助信息!E:K,7,FALSE)</f>
        <v>JWDDCD2025060900080</v>
      </c>
      <c r="E2557" s="120" t="str">
        <f>VLOOKUP(F2557,辅助信息!A:B,2,FALSE)</f>
        <v>螺纹钢</v>
      </c>
      <c r="F2557" s="120" t="s">
        <v>22</v>
      </c>
      <c r="G2557" s="121">
        <v>50</v>
      </c>
      <c r="H2557" s="134">
        <f>_xlfn.XLOOKUP(C2557&amp;F2557&amp;I2557&amp;J2557,'[1]2025年已发货'!$F:$F&amp;'[1]2025年已发货'!$C:$C&amp;'[1]2025年已发货'!$G:$G&amp;'[1]2025年已发货'!$H:$H,'[1]2025年已发货'!$E:$E,"未发货")</f>
        <v>20</v>
      </c>
      <c r="I2557" s="120" t="str">
        <f>VLOOKUP(B2557,辅助信息!E:I,3,FALSE)</f>
        <v>（华西简阳西城嘉苑）四川省成都市简阳市简城街道高屋村</v>
      </c>
      <c r="J2557" s="120" t="str">
        <f>VLOOKUP(B2557,辅助信息!E:I,4,FALSE)</f>
        <v>张瀚镭</v>
      </c>
      <c r="K2557" s="120">
        <f>VLOOKUP(J2557,辅助信息!H:I,2,FALSE)</f>
        <v>15884666220</v>
      </c>
      <c r="L2557" s="122" t="str">
        <f>VLOOKUP(B2557,辅助信息!E:J,6,FALSE)</f>
        <v>现场禁止使用氢能源挂车！优先威钢发货,我方卸车,新老国标钢厂不加价可直发，因陕钢多次出现磅差，项目拒绝使用</v>
      </c>
      <c r="M2557" s="91">
        <v>45870</v>
      </c>
      <c r="O2557" s="62">
        <f ca="1" t="shared" si="159"/>
        <v>0</v>
      </c>
      <c r="P2557" s="62">
        <f ca="1" t="shared" si="160"/>
        <v>90</v>
      </c>
      <c r="Q2557" s="29" t="str">
        <f>VLOOKUP(B2557,辅助信息!E:M,9,FALSE)</f>
        <v>ZTWM-CDGS-XS-2024-0030-华西集采-简州大道</v>
      </c>
      <c r="R2557" s="29" t="str">
        <f>_xlfn._xlws.FILTER(辅助信息!D:D,辅助信息!E:E=B2557)</f>
        <v>华西简阳西城嘉苑</v>
      </c>
    </row>
    <row r="2558" hidden="1" spans="2:18">
      <c r="B2558" s="40" t="s">
        <v>180</v>
      </c>
      <c r="C2558" s="70">
        <v>45869</v>
      </c>
      <c r="D2558" s="40" t="str">
        <f>VLOOKUP(B2558,辅助信息!E:K,7,FALSE)</f>
        <v>JWDDCD2025052800131</v>
      </c>
      <c r="E2558" s="120" t="str">
        <f>VLOOKUP(F2558,辅助信息!A:B,2,FALSE)</f>
        <v>螺纹钢</v>
      </c>
      <c r="F2558" s="40" t="s">
        <v>205</v>
      </c>
      <c r="G2558" s="36">
        <v>15</v>
      </c>
      <c r="H2558" s="134">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09" t="str">
        <f>VLOOKUP(B2558,辅助信息!E:J,6,FALSE)</f>
        <v>控制炉批号！多了现场不收！,优先安排达钢,提前联系到场规格及数量</v>
      </c>
      <c r="M2558" s="91">
        <v>45870</v>
      </c>
      <c r="O2558" s="62">
        <f ca="1" t="shared" si="159"/>
        <v>0</v>
      </c>
      <c r="P2558" s="62">
        <f ca="1" t="shared" si="160"/>
        <v>90</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0">
        <v>45869</v>
      </c>
      <c r="D2559" s="40" t="str">
        <f>VLOOKUP(B2559,辅助信息!E:K,7,FALSE)</f>
        <v>JWDDCD2025052800131</v>
      </c>
      <c r="E2559" s="120" t="str">
        <f>VLOOKUP(F2559,辅助信息!A:B,2,FALSE)</f>
        <v>螺纹钢</v>
      </c>
      <c r="F2559" s="40" t="s">
        <v>141</v>
      </c>
      <c r="G2559" s="36">
        <v>6</v>
      </c>
      <c r="H2559" s="134">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09" t="str">
        <f>VLOOKUP(B2559,辅助信息!E:J,6,FALSE)</f>
        <v>控制炉批号！多了现场不收！,优先安排达钢,提前联系到场规格及数量</v>
      </c>
      <c r="M2559" s="91">
        <v>45870</v>
      </c>
      <c r="O2559" s="62">
        <f ca="1" t="shared" si="159"/>
        <v>0</v>
      </c>
      <c r="P2559" s="62">
        <f ca="1" t="shared" si="160"/>
        <v>90</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0">
        <v>45869</v>
      </c>
      <c r="D2560" s="40" t="str">
        <f>VLOOKUP(B2560,辅助信息!E:K,7,FALSE)</f>
        <v>JWDDCD2025052800131</v>
      </c>
      <c r="E2560" s="120" t="str">
        <f>VLOOKUP(F2560,辅助信息!A:B,2,FALSE)</f>
        <v>螺纹钢</v>
      </c>
      <c r="F2560" s="40" t="s">
        <v>142</v>
      </c>
      <c r="G2560" s="36">
        <v>15</v>
      </c>
      <c r="H2560" s="134">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09" t="str">
        <f>VLOOKUP(B2560,辅助信息!E:J,6,FALSE)</f>
        <v>控制炉批号！多了现场不收！,优先安排达钢,提前联系到场规格及数量</v>
      </c>
      <c r="M2560" s="91">
        <v>45870</v>
      </c>
      <c r="O2560" s="62">
        <f ca="1" t="shared" si="159"/>
        <v>0</v>
      </c>
      <c r="P2560" s="62">
        <f ca="1" t="shared" si="160"/>
        <v>90</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0">
        <v>45869</v>
      </c>
      <c r="D2561" s="40" t="str">
        <f>VLOOKUP(B2561,辅助信息!E:K,7,FALSE)</f>
        <v>JWDDCD2025052800131</v>
      </c>
      <c r="E2561" s="120" t="str">
        <f>VLOOKUP(F2561,辅助信息!A:B,2,FALSE)</f>
        <v>盘螺</v>
      </c>
      <c r="F2561" s="40" t="s">
        <v>40</v>
      </c>
      <c r="G2561" s="36">
        <v>18</v>
      </c>
      <c r="H2561" s="134">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09" t="str">
        <f>VLOOKUP(B2561,辅助信息!E:J,6,FALSE)</f>
        <v>控制炉批号！多了现场不收！,优先安排达钢,提前联系到场规格及数量</v>
      </c>
      <c r="M2561" s="91">
        <v>45870</v>
      </c>
      <c r="O2561" s="62">
        <f ca="1" t="shared" si="159"/>
        <v>0</v>
      </c>
      <c r="P2561" s="62">
        <f ca="1" t="shared" si="160"/>
        <v>90</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0">
        <v>45869</v>
      </c>
      <c r="D2562" s="40" t="str">
        <f>VLOOKUP(B2562,辅助信息!E:K,7,FALSE)</f>
        <v>JWDDCD2025052800131</v>
      </c>
      <c r="E2562" s="120" t="str">
        <f>VLOOKUP(F2562,辅助信息!A:B,2,FALSE)</f>
        <v>盘螺</v>
      </c>
      <c r="F2562" s="40" t="s">
        <v>41</v>
      </c>
      <c r="G2562" s="36">
        <v>9</v>
      </c>
      <c r="H2562" s="134">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09" t="str">
        <f>VLOOKUP(B2562,辅助信息!E:J,6,FALSE)</f>
        <v>控制炉批号！多了现场不收！,优先安排达钢,提前联系到场规格及数量</v>
      </c>
      <c r="M2562" s="91">
        <v>45870</v>
      </c>
      <c r="O2562" s="62">
        <f ca="1" t="shared" si="159"/>
        <v>0</v>
      </c>
      <c r="P2562" s="62">
        <f ca="1" t="shared" si="160"/>
        <v>90</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0">
        <v>45869</v>
      </c>
      <c r="D2563" s="40" t="str">
        <f>VLOOKUP(B2563,辅助信息!E:K,7,FALSE)</f>
        <v>JWDDCD2025052800131</v>
      </c>
      <c r="E2563" s="120" t="str">
        <f>VLOOKUP(F2563,辅助信息!A:B,2,FALSE)</f>
        <v>螺纹钢</v>
      </c>
      <c r="F2563" s="40" t="s">
        <v>33</v>
      </c>
      <c r="G2563" s="36">
        <v>9</v>
      </c>
      <c r="H2563" s="134">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09" t="str">
        <f>VLOOKUP(B2563,辅助信息!E:J,6,FALSE)</f>
        <v>控制炉批号！多了现场不收！,优先安排达钢,提前联系到场规格及数量</v>
      </c>
      <c r="M2563" s="91">
        <v>45870</v>
      </c>
      <c r="O2563" s="62">
        <f ca="1" t="shared" si="159"/>
        <v>0</v>
      </c>
      <c r="P2563" s="62">
        <f ca="1" t="shared" si="160"/>
        <v>90</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3" t="s">
        <v>147</v>
      </c>
      <c r="C2564" s="84">
        <v>45869</v>
      </c>
      <c r="D2564" s="83" t="str">
        <f>VLOOKUP(B2564,辅助信息!E:K,7,FALSE)</f>
        <v>JWDDCD2025052800131</v>
      </c>
      <c r="E2564" s="83" t="str">
        <f>VLOOKUP(F2564,辅助信息!A:B,2,FALSE)</f>
        <v>盘螺</v>
      </c>
      <c r="F2564" s="83" t="s">
        <v>40</v>
      </c>
      <c r="G2564" s="85">
        <v>35</v>
      </c>
      <c r="H2564" s="138">
        <f>_xlfn.XLOOKUP(C2564&amp;F2564&amp;I2564&amp;J2564,'[1]2025年已发货'!$F:$F&amp;'[1]2025年已发货'!$C:$C&amp;'[1]2025年已发货'!$G:$G&amp;'[1]2025年已发货'!$H:$H,'[1]2025年已发货'!$E:$E,"未发货")</f>
        <v>35</v>
      </c>
      <c r="I2564" s="83"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1" t="str">
        <f>VLOOKUP(B2564,辅助信息!E:J,6,FALSE)</f>
        <v>控制炉批号！多了现场不收！,优先安排达钢,提前联系到场规格及数量</v>
      </c>
      <c r="M2564" s="91">
        <v>45870</v>
      </c>
      <c r="O2564" s="62">
        <f ca="1" t="shared" si="159"/>
        <v>0</v>
      </c>
      <c r="P2564" s="62">
        <f ca="1" t="shared" si="160"/>
        <v>90</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0">
        <v>45869</v>
      </c>
      <c r="D2565" s="40" t="str">
        <f>VLOOKUP(B2565,辅助信息!E:K,7,FALSE)</f>
        <v>JWDD2025071500089</v>
      </c>
      <c r="E2565" s="40" t="str">
        <f>VLOOKUP(F2565,辅助信息!A:B,2,FALSE)</f>
        <v>螺纹钢</v>
      </c>
      <c r="F2565" s="40" t="s">
        <v>19</v>
      </c>
      <c r="G2565" s="36">
        <v>16</v>
      </c>
      <c r="H2565" s="134"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09" t="str">
        <f>VLOOKUP(B2565,辅助信息!E:J,6,FALSE)</f>
        <v>现场要求调度统一联系指定收货人，不单独发司机位置。锈货不收，装货前联系收货人核实到场规格,没提前告知进场规格现场不给予接收</v>
      </c>
      <c r="M2565" s="91">
        <v>45870</v>
      </c>
      <c r="O2565" s="62">
        <f ca="1" t="shared" si="159"/>
        <v>0</v>
      </c>
      <c r="P2565" s="62">
        <f ca="1" t="shared" si="160"/>
        <v>90</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0">
        <v>45869</v>
      </c>
      <c r="D2566" s="40" t="str">
        <f>VLOOKUP(B2566,辅助信息!E:K,7,FALSE)</f>
        <v>JWDD2025071500089</v>
      </c>
      <c r="E2566" s="40" t="str">
        <f>VLOOKUP(F2566,辅助信息!A:B,2,FALSE)</f>
        <v>螺纹钢</v>
      </c>
      <c r="F2566" s="40" t="s">
        <v>32</v>
      </c>
      <c r="G2566" s="36">
        <v>7</v>
      </c>
      <c r="H2566" s="134"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09" t="str">
        <f>VLOOKUP(B2566,辅助信息!E:J,6,FALSE)</f>
        <v>现场要求调度统一联系指定收货人，不单独发司机位置。锈货不收，装货前联系收货人核实到场规格,没提前告知进场规格现场不给予接收</v>
      </c>
      <c r="M2566" s="91">
        <v>45870</v>
      </c>
      <c r="O2566" s="62">
        <f ca="1" t="shared" si="159"/>
        <v>0</v>
      </c>
      <c r="P2566" s="62">
        <f ca="1" t="shared" si="160"/>
        <v>90</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0">
        <v>45869</v>
      </c>
      <c r="D2567" s="40" t="str">
        <f>VLOOKUP(B2567,辅助信息!E:K,7,FALSE)</f>
        <v>JWDD2025071500089</v>
      </c>
      <c r="E2567" s="40" t="str">
        <f>VLOOKUP(F2567,辅助信息!A:B,2,FALSE)</f>
        <v>螺纹钢</v>
      </c>
      <c r="F2567" s="40" t="s">
        <v>30</v>
      </c>
      <c r="G2567" s="36">
        <v>9</v>
      </c>
      <c r="H2567" s="134"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09" t="str">
        <f>VLOOKUP(B2567,辅助信息!E:J,6,FALSE)</f>
        <v>现场要求调度统一联系指定收货人，不单独发司机位置。锈货不收，装货前联系收货人核实到场规格,没提前告知进场规格现场不给予接收</v>
      </c>
      <c r="M2567" s="91">
        <v>45870</v>
      </c>
      <c r="O2567" s="62">
        <f ca="1" t="shared" si="159"/>
        <v>0</v>
      </c>
      <c r="P2567" s="62">
        <f ca="1" t="shared" si="160"/>
        <v>90</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0">
        <v>45869</v>
      </c>
      <c r="D2568" s="40" t="str">
        <f>VLOOKUP(B2568,辅助信息!E:K,7,FALSE)</f>
        <v>JWDD2025071500089</v>
      </c>
      <c r="E2568" s="40" t="str">
        <f>VLOOKUP(F2568,辅助信息!A:B,2,FALSE)</f>
        <v>螺纹钢</v>
      </c>
      <c r="F2568" s="40" t="s">
        <v>33</v>
      </c>
      <c r="G2568" s="36">
        <v>3</v>
      </c>
      <c r="H2568" s="134"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09" t="str">
        <f>VLOOKUP(B2568,辅助信息!E:J,6,FALSE)</f>
        <v>现场要求调度统一联系指定收货人，不单独发司机位置。锈货不收，装货前联系收货人核实到场规格,没提前告知进场规格现场不给予接收</v>
      </c>
      <c r="M2568" s="91">
        <v>45870</v>
      </c>
      <c r="O2568" s="62">
        <f ca="1" t="shared" si="159"/>
        <v>0</v>
      </c>
      <c r="P2568" s="62">
        <f ca="1" t="shared" si="160"/>
        <v>90</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0">
        <v>45869</v>
      </c>
      <c r="D2569" s="40" t="str">
        <f>VLOOKUP(B2569,辅助信息!E:K,7,FALSE)</f>
        <v>JWDDCD2024101600133</v>
      </c>
      <c r="E2569" s="40" t="str">
        <f>VLOOKUP(F2569,辅助信息!A:B,2,FALSE)</f>
        <v>盘螺</v>
      </c>
      <c r="F2569" s="40" t="s">
        <v>41</v>
      </c>
      <c r="G2569" s="36">
        <v>10</v>
      </c>
      <c r="H2569" s="134">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09" t="str">
        <f>VLOOKUP(B2569,辅助信息!E:J,6,FALSE)</f>
        <v>提前联系到场规格</v>
      </c>
      <c r="M2569" s="91">
        <v>45870</v>
      </c>
      <c r="O2569" s="62">
        <f ca="1" t="shared" si="159"/>
        <v>0</v>
      </c>
      <c r="P2569" s="62">
        <f ca="1" t="shared" si="160"/>
        <v>90</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0">
        <v>45869</v>
      </c>
      <c r="D2570" s="40" t="str">
        <f>VLOOKUP(B2570,辅助信息!E:K,7,FALSE)</f>
        <v>JWDDCD2024101600133</v>
      </c>
      <c r="E2570" s="40" t="str">
        <f>VLOOKUP(F2570,辅助信息!A:B,2,FALSE)</f>
        <v>螺纹钢</v>
      </c>
      <c r="F2570" s="40" t="s">
        <v>27</v>
      </c>
      <c r="G2570" s="36">
        <v>15</v>
      </c>
      <c r="H2570" s="134">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09" t="str">
        <f>VLOOKUP(B2570,辅助信息!E:J,6,FALSE)</f>
        <v>提前联系到场规格</v>
      </c>
      <c r="M2570" s="91">
        <v>45870</v>
      </c>
      <c r="O2570" s="62">
        <f ca="1" t="shared" si="159"/>
        <v>0</v>
      </c>
      <c r="P2570" s="62">
        <f ca="1" t="shared" si="160"/>
        <v>90</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0">
        <v>45869</v>
      </c>
      <c r="D2571" s="40" t="str">
        <f>VLOOKUP(B2571,辅助信息!E:K,7,FALSE)</f>
        <v>JWDDCD2024101600133</v>
      </c>
      <c r="E2571" s="40" t="str">
        <f>VLOOKUP(F2571,辅助信息!A:B,2,FALSE)</f>
        <v>螺纹钢</v>
      </c>
      <c r="F2571" s="40" t="s">
        <v>19</v>
      </c>
      <c r="G2571" s="36">
        <v>3</v>
      </c>
      <c r="H2571" s="134">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09" t="str">
        <f>VLOOKUP(B2571,辅助信息!E:J,6,FALSE)</f>
        <v>提前联系到场规格</v>
      </c>
      <c r="M2571" s="91">
        <v>45870</v>
      </c>
      <c r="O2571" s="62">
        <f ca="1" t="shared" si="159"/>
        <v>0</v>
      </c>
      <c r="P2571" s="62">
        <f ca="1" t="shared" si="160"/>
        <v>90</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0">
        <v>45869</v>
      </c>
      <c r="D2572" s="40" t="str">
        <f>VLOOKUP(B2572,辅助信息!E:K,7,FALSE)</f>
        <v>JWDDCD2024101600133</v>
      </c>
      <c r="E2572" s="40" t="str">
        <f>VLOOKUP(F2572,辅助信息!A:B,2,FALSE)</f>
        <v>螺纹钢</v>
      </c>
      <c r="F2572" s="40" t="s">
        <v>32</v>
      </c>
      <c r="G2572" s="36">
        <v>12</v>
      </c>
      <c r="H2572" s="134">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09" t="str">
        <f>VLOOKUP(B2572,辅助信息!E:J,6,FALSE)</f>
        <v>提前联系到场规格</v>
      </c>
      <c r="M2572" s="91">
        <v>45870</v>
      </c>
      <c r="O2572" s="62">
        <f ca="1" t="shared" si="159"/>
        <v>0</v>
      </c>
      <c r="P2572" s="62">
        <f ca="1" t="shared" si="160"/>
        <v>90</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0">
        <v>45869</v>
      </c>
      <c r="D2573" s="40" t="str">
        <f>VLOOKUP(B2573,辅助信息!E:K,7,FALSE)</f>
        <v>JWDDCD2024101600133</v>
      </c>
      <c r="E2573" s="40" t="str">
        <f>VLOOKUP(F2573,辅助信息!A:B,2,FALSE)</f>
        <v>螺纹钢</v>
      </c>
      <c r="F2573" s="40" t="s">
        <v>30</v>
      </c>
      <c r="G2573" s="36">
        <v>6</v>
      </c>
      <c r="H2573" s="134">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09" t="str">
        <f>VLOOKUP(B2573,辅助信息!E:J,6,FALSE)</f>
        <v>提前联系到场规格</v>
      </c>
      <c r="M2573" s="91">
        <v>45870</v>
      </c>
      <c r="O2573" s="62">
        <f ca="1" t="shared" si="159"/>
        <v>0</v>
      </c>
      <c r="P2573" s="62">
        <f ca="1" t="shared" si="160"/>
        <v>90</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0">
        <v>45869</v>
      </c>
      <c r="D2574" s="40" t="str">
        <f>VLOOKUP(B2574,辅助信息!E:K,7,FALSE)</f>
        <v>JWDDCD2024101600133</v>
      </c>
      <c r="E2574" s="40" t="str">
        <f>VLOOKUP(F2574,辅助信息!A:B,2,FALSE)</f>
        <v>螺纹钢</v>
      </c>
      <c r="F2574" s="40" t="s">
        <v>33</v>
      </c>
      <c r="G2574" s="36">
        <v>12</v>
      </c>
      <c r="H2574" s="134">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09" t="str">
        <f>VLOOKUP(B2574,辅助信息!E:J,6,FALSE)</f>
        <v>提前联系到场规格</v>
      </c>
      <c r="M2574" s="91">
        <v>45870</v>
      </c>
      <c r="O2574" s="62">
        <f ca="1" t="shared" si="159"/>
        <v>0</v>
      </c>
      <c r="P2574" s="62">
        <f ca="1" t="shared" si="160"/>
        <v>90</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0">
        <v>45869</v>
      </c>
      <c r="D2575" s="40" t="str">
        <f>VLOOKUP(B2575,辅助信息!E:K,7,FALSE)</f>
        <v>JWDDCD2024101600133</v>
      </c>
      <c r="E2575" s="40" t="str">
        <f>VLOOKUP(F2575,辅助信息!A:B,2,FALSE)</f>
        <v>螺纹钢</v>
      </c>
      <c r="F2575" s="40" t="s">
        <v>18</v>
      </c>
      <c r="G2575" s="36">
        <v>12</v>
      </c>
      <c r="H2575" s="134">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09" t="str">
        <f>VLOOKUP(B2575,辅助信息!E:J,6,FALSE)</f>
        <v>提前联系到场规格</v>
      </c>
      <c r="M2575" s="91">
        <v>45870</v>
      </c>
      <c r="O2575" s="62">
        <f ca="1" t="shared" si="159"/>
        <v>0</v>
      </c>
      <c r="P2575" s="62">
        <f ca="1" t="shared" si="160"/>
        <v>90</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0">
        <v>45870</v>
      </c>
      <c r="D2576" s="40" t="str">
        <f>VLOOKUP(B2576,辅助信息!E:K,7,FALSE)</f>
        <v>JWDDCD2025052800131</v>
      </c>
      <c r="E2576" s="40" t="str">
        <f>VLOOKUP(F2576,辅助信息!A:B,2,FALSE)</f>
        <v>盘螺</v>
      </c>
      <c r="F2576" s="40" t="s">
        <v>40</v>
      </c>
      <c r="G2576" s="36">
        <v>22</v>
      </c>
      <c r="H2576" s="134"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09" t="str">
        <f>VLOOKUP(B2576,辅助信息!E:J,6,FALSE)</f>
        <v>控制炉批号！多了现场不收！,优先安排达钢,提前联系到场规格及数量</v>
      </c>
      <c r="M2576" s="91">
        <v>45870</v>
      </c>
      <c r="O2576" s="62">
        <f ca="1" t="shared" si="159"/>
        <v>0</v>
      </c>
      <c r="P2576" s="62">
        <f ca="1" t="shared" si="160"/>
        <v>90</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0">
        <v>45870</v>
      </c>
      <c r="D2577" s="40" t="str">
        <f>VLOOKUP(B2577,辅助信息!E:K,7,FALSE)</f>
        <v>JWDDCD2025052800131</v>
      </c>
      <c r="E2577" s="40" t="str">
        <f>VLOOKUP(F2577,辅助信息!A:B,2,FALSE)</f>
        <v>螺纹钢</v>
      </c>
      <c r="F2577" s="40" t="s">
        <v>21</v>
      </c>
      <c r="G2577" s="36">
        <v>9</v>
      </c>
      <c r="H2577" s="134"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09" t="str">
        <f>VLOOKUP(B2577,辅助信息!E:J,6,FALSE)</f>
        <v>控制炉批号！多了现场不收！,优先安排达钢,提前联系到场规格及数量</v>
      </c>
      <c r="O2577" s="62" t="str">
        <f ca="1" t="shared" si="159"/>
        <v/>
      </c>
      <c r="P2577" s="62"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0">
        <v>45870</v>
      </c>
      <c r="D2578" s="40" t="str">
        <f>VLOOKUP(B2578,辅助信息!E:K,7,FALSE)</f>
        <v>JWDDCD2025052800131</v>
      </c>
      <c r="E2578" s="40" t="str">
        <f>VLOOKUP(F2578,辅助信息!A:B,2,FALSE)</f>
        <v>螺纹钢</v>
      </c>
      <c r="F2578" s="40" t="s">
        <v>58</v>
      </c>
      <c r="G2578" s="36">
        <v>9</v>
      </c>
      <c r="H2578" s="134"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09" t="str">
        <f>VLOOKUP(B2578,辅助信息!E:J,6,FALSE)</f>
        <v>控制炉批号！多了现场不收！,优先安排达钢,提前联系到场规格及数量</v>
      </c>
      <c r="O2578" s="62" t="str">
        <f ca="1" t="shared" si="159"/>
        <v/>
      </c>
      <c r="P2578" s="62"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0">
        <v>45870</v>
      </c>
      <c r="D2579" s="40" t="str">
        <f>VLOOKUP(B2579,辅助信息!E:K,7,FALSE)</f>
        <v>JWDDCD2025052800131</v>
      </c>
      <c r="E2579" s="40" t="str">
        <f>VLOOKUP(F2579,辅助信息!A:B,2,FALSE)</f>
        <v>螺纹钢</v>
      </c>
      <c r="F2579" s="40" t="s">
        <v>46</v>
      </c>
      <c r="G2579" s="36">
        <v>9</v>
      </c>
      <c r="H2579" s="134"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09" t="str">
        <f>VLOOKUP(B2579,辅助信息!E:J,6,FALSE)</f>
        <v>控制炉批号！多了现场不收！,优先安排达钢,提前联系到场规格及数量</v>
      </c>
      <c r="O2579" s="62" t="str">
        <f ca="1" t="shared" si="159"/>
        <v/>
      </c>
      <c r="P2579" s="62"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0">
        <v>45870</v>
      </c>
      <c r="D2580" s="40" t="str">
        <f>VLOOKUP(B2580,辅助信息!E:K,7,FALSE)</f>
        <v>JWDDCD2025052800131</v>
      </c>
      <c r="E2580" s="40" t="str">
        <f>VLOOKUP(F2580,辅助信息!A:B,2,FALSE)</f>
        <v>螺纹钢</v>
      </c>
      <c r="F2580" s="40" t="s">
        <v>22</v>
      </c>
      <c r="G2580" s="36">
        <v>15</v>
      </c>
      <c r="H2580" s="134"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09" t="str">
        <f>VLOOKUP(B2580,辅助信息!E:J,6,FALSE)</f>
        <v>控制炉批号！多了现场不收！,优先安排达钢,提前联系到场规格及数量</v>
      </c>
      <c r="O2580" s="62" t="str">
        <f ca="1" t="shared" si="159"/>
        <v/>
      </c>
      <c r="P2580" s="62"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0">
        <v>45870</v>
      </c>
      <c r="D2581" s="40" t="str">
        <f>VLOOKUP(B2581,辅助信息!E:K,7,FALSE)</f>
        <v>JWDDCD2025052800131</v>
      </c>
      <c r="E2581" s="40" t="str">
        <f>VLOOKUP(F2581,辅助信息!A:B,2,FALSE)</f>
        <v>螺纹钢</v>
      </c>
      <c r="F2581" s="40" t="s">
        <v>28</v>
      </c>
      <c r="G2581" s="36">
        <v>6</v>
      </c>
      <c r="H2581" s="134"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09" t="str">
        <f>VLOOKUP(B2581,辅助信息!E:J,6,FALSE)</f>
        <v>控制炉批号！多了现场不收！,优先安排达钢,提前联系到场规格及数量</v>
      </c>
      <c r="O2581" s="62" t="str">
        <f ca="1" t="shared" si="159"/>
        <v/>
      </c>
      <c r="P2581" s="62"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0">
        <v>45873</v>
      </c>
      <c r="D2582" s="40" t="str">
        <f>VLOOKUP(B2582,辅助信息!E:K,7,FALSE)</f>
        <v>JWDDCD2025072900123</v>
      </c>
      <c r="E2582" s="40" t="str">
        <f>VLOOKUP(F2582,辅助信息!A:B,2,FALSE)</f>
        <v>螺纹钢</v>
      </c>
      <c r="F2582" s="40" t="s">
        <v>28</v>
      </c>
      <c r="G2582" s="36">
        <v>18</v>
      </c>
      <c r="H2582" s="134">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09" t="str">
        <f>VLOOKUP(B2582,辅助信息!E:J,6,FALSE)</f>
        <v>联系实际收货人（彭江涛13990276572）现场要求炉批号控制2个以下，超2个不给予签收。提前联系到场规格及数量</v>
      </c>
      <c r="M2582" s="91">
        <v>45874</v>
      </c>
      <c r="O2582" s="62">
        <f ca="1" t="shared" si="159"/>
        <v>0</v>
      </c>
      <c r="P2582" s="62">
        <f ca="1" t="shared" si="160"/>
        <v>86</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0">
        <v>45873</v>
      </c>
      <c r="D2583" s="40" t="str">
        <f>VLOOKUP(B2583,辅助信息!E:K,7,FALSE)</f>
        <v>JWDDCD2025072900123</v>
      </c>
      <c r="E2583" s="40" t="str">
        <f>VLOOKUP(F2583,辅助信息!A:B,2,FALSE)</f>
        <v>螺纹钢</v>
      </c>
      <c r="F2583" s="40" t="s">
        <v>18</v>
      </c>
      <c r="G2583" s="36">
        <v>18</v>
      </c>
      <c r="H2583" s="134">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09" t="str">
        <f>VLOOKUP(B2583,辅助信息!E:J,6,FALSE)</f>
        <v>联系实际收货人（彭江涛13990276572）现场要求炉批号控制2个以下，超2个不给予签收。提前联系到场规格及数量</v>
      </c>
      <c r="M2583" s="91">
        <v>45874</v>
      </c>
      <c r="O2583" s="62">
        <f ca="1" t="shared" si="159"/>
        <v>0</v>
      </c>
      <c r="P2583" s="62">
        <f ca="1" t="shared" si="160"/>
        <v>86</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0">
        <v>45873</v>
      </c>
      <c r="D2584" s="40" t="str">
        <f>VLOOKUP(B2584,辅助信息!E:K,7,FALSE)</f>
        <v>JWDDCD2025072900123</v>
      </c>
      <c r="E2584" s="40" t="str">
        <f>VLOOKUP(F2584,辅助信息!A:B,2,FALSE)</f>
        <v>盘螺</v>
      </c>
      <c r="F2584" s="40" t="s">
        <v>40</v>
      </c>
      <c r="G2584" s="36">
        <v>3</v>
      </c>
      <c r="H2584" s="134">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09" t="str">
        <f>VLOOKUP(B2584,辅助信息!E:J,6,FALSE)</f>
        <v>联系实际收货人（彭江涛13990276572）现场要求炉批号控制2个以下，超2个不给予签收。提前联系到场规格及数量</v>
      </c>
      <c r="M2584" s="91">
        <v>45874</v>
      </c>
      <c r="O2584" s="62">
        <f ca="1" t="shared" si="159"/>
        <v>0</v>
      </c>
      <c r="P2584" s="62">
        <f ca="1" t="shared" si="160"/>
        <v>86</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0">
        <v>45873</v>
      </c>
      <c r="D2585" s="40" t="str">
        <f>VLOOKUP(B2585,辅助信息!E:K,7,FALSE)</f>
        <v>JWDDCD2025072900123</v>
      </c>
      <c r="E2585" s="40" t="str">
        <f>VLOOKUP(F2585,辅助信息!A:B,2,FALSE)</f>
        <v>盘螺</v>
      </c>
      <c r="F2585" s="40" t="s">
        <v>41</v>
      </c>
      <c r="G2585" s="36">
        <v>10</v>
      </c>
      <c r="H2585" s="134">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09" t="str">
        <f>VLOOKUP(B2585,辅助信息!E:J,6,FALSE)</f>
        <v>联系实际收货人（彭江涛13990276572）现场要求炉批号控制2个以下，超2个不给予签收。提前联系到场规格及数量</v>
      </c>
      <c r="M2585" s="91">
        <v>45874</v>
      </c>
      <c r="O2585" s="62">
        <f ca="1" t="shared" si="159"/>
        <v>0</v>
      </c>
      <c r="P2585" s="62">
        <f ca="1" t="shared" si="160"/>
        <v>86</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0">
        <v>45873</v>
      </c>
      <c r="D2586" s="40" t="str">
        <f>VLOOKUP(B2586,辅助信息!E:K,7,FALSE)</f>
        <v>JWDDCD2025072900123</v>
      </c>
      <c r="E2586" s="40" t="str">
        <f>VLOOKUP(F2586,辅助信息!A:B,2,FALSE)</f>
        <v>盘螺</v>
      </c>
      <c r="F2586" s="40" t="s">
        <v>26</v>
      </c>
      <c r="G2586" s="36">
        <v>17</v>
      </c>
      <c r="H2586" s="134">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09" t="str">
        <f>VLOOKUP(B2586,辅助信息!E:J,6,FALSE)</f>
        <v>联系实际收货人（彭江涛13990276572）现场要求炉批号控制2个以下，超2个不给予签收。提前联系到场规格及数量</v>
      </c>
      <c r="M2586" s="91">
        <v>45874</v>
      </c>
      <c r="O2586" s="62">
        <f ca="1" t="shared" si="159"/>
        <v>0</v>
      </c>
      <c r="P2586" s="62">
        <f ca="1" t="shared" si="160"/>
        <v>86</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0">
        <v>45873</v>
      </c>
      <c r="D2587" s="40" t="str">
        <f>VLOOKUP(B2587,辅助信息!E:K,7,FALSE)</f>
        <v>JWDDCD2025072900123</v>
      </c>
      <c r="E2587" s="40" t="str">
        <f>VLOOKUP(F2587,辅助信息!A:B,2,FALSE)</f>
        <v>螺纹钢</v>
      </c>
      <c r="F2587" s="40" t="s">
        <v>76</v>
      </c>
      <c r="G2587" s="36">
        <v>8</v>
      </c>
      <c r="H2587" s="134">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09" t="str">
        <f>VLOOKUP(B2587,辅助信息!E:J,6,FALSE)</f>
        <v>联系实际收货人（彭江涛13990276572）现场要求炉批号控制2个以下，超2个不给予签收。提前联系到场规格及数量</v>
      </c>
      <c r="M2587" s="91">
        <v>45874</v>
      </c>
      <c r="O2587" s="62">
        <f ca="1" t="shared" si="159"/>
        <v>0</v>
      </c>
      <c r="P2587" s="62">
        <f ca="1" t="shared" si="160"/>
        <v>86</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0">
        <v>45873</v>
      </c>
      <c r="D2588" s="40" t="str">
        <f>VLOOKUP(B2588,辅助信息!E:K,7,FALSE)</f>
        <v>JWDDCD2025072900123</v>
      </c>
      <c r="E2588" s="40" t="str">
        <f>VLOOKUP(F2588,辅助信息!A:B,2,FALSE)</f>
        <v>螺纹钢</v>
      </c>
      <c r="F2588" s="40" t="s">
        <v>90</v>
      </c>
      <c r="G2588" s="36">
        <v>3</v>
      </c>
      <c r="H2588" s="134">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09" t="str">
        <f>VLOOKUP(B2588,辅助信息!E:J,6,FALSE)</f>
        <v>联系实际收货人（彭江涛13990276572）现场要求炉批号控制2个以下，超2个不给予签收。提前联系到场规格及数量</v>
      </c>
      <c r="M2588" s="91">
        <v>45874</v>
      </c>
      <c r="O2588" s="62">
        <f ca="1" t="shared" si="159"/>
        <v>0</v>
      </c>
      <c r="P2588" s="62">
        <f ca="1" t="shared" si="160"/>
        <v>86</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0">
        <v>45873</v>
      </c>
      <c r="D2589" s="40" t="str">
        <f>VLOOKUP(B2589,辅助信息!E:K,7,FALSE)</f>
        <v>JWDDCD2025072900123</v>
      </c>
      <c r="E2589" s="40" t="str">
        <f>VLOOKUP(F2589,辅助信息!A:B,2,FALSE)</f>
        <v>螺纹钢</v>
      </c>
      <c r="F2589" s="40" t="s">
        <v>133</v>
      </c>
      <c r="G2589" s="36">
        <v>67</v>
      </c>
      <c r="H2589" s="134">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09" t="str">
        <f>VLOOKUP(B2589,辅助信息!E:J,6,FALSE)</f>
        <v>联系实际收货人（彭江涛13990276572）现场要求炉批号控制2个以下，超2个不给予签收。提前联系到场规格及数量</v>
      </c>
      <c r="M2589" s="91">
        <v>45874</v>
      </c>
      <c r="O2589" s="62">
        <f ca="1" t="shared" ref="O2589:O2652" si="161">IF(OR(M2589="",N2589&lt;&gt;""),"",MAX(M2589-TODAY(),0))</f>
        <v>0</v>
      </c>
      <c r="P2589" s="62">
        <f ca="1" t="shared" ref="P2589:P2652" si="162">IF(M2589="","",IF(N2589&lt;&gt;"",MAX(N2589-M2589,0),IF(TODAY()&gt;M2589,TODAY()-M2589,0)))</f>
        <v>86</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0">
        <v>45873</v>
      </c>
      <c r="D2590" s="40" t="str">
        <f>VLOOKUP(B2590,辅助信息!E:K,7,FALSE)</f>
        <v>JWDDCD2025072900123</v>
      </c>
      <c r="E2590" s="40" t="str">
        <f>VLOOKUP(F2590,辅助信息!A:B,2,FALSE)</f>
        <v>螺纹钢</v>
      </c>
      <c r="F2590" s="40" t="s">
        <v>91</v>
      </c>
      <c r="G2590" s="36">
        <v>192</v>
      </c>
      <c r="H2590" s="134">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09" t="str">
        <f>VLOOKUP(B2590,辅助信息!E:J,6,FALSE)</f>
        <v>联系实际收货人（彭江涛13990276572）现场要求炉批号控制2个以下，超2个不给予签收。提前联系到场规格及数量</v>
      </c>
      <c r="M2590" s="91">
        <v>45874</v>
      </c>
      <c r="O2590" s="62">
        <f ca="1" t="shared" si="161"/>
        <v>0</v>
      </c>
      <c r="P2590" s="62">
        <f ca="1" t="shared" si="162"/>
        <v>86</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0">
        <v>45873</v>
      </c>
      <c r="D2591" s="40" t="str">
        <f>VLOOKUP(B2591,辅助信息!E:K,7,FALSE)</f>
        <v>JWDDCD2025052800131</v>
      </c>
      <c r="E2591" s="40" t="str">
        <f>VLOOKUP(F2591,辅助信息!A:B,2,FALSE)</f>
        <v>盘螺</v>
      </c>
      <c r="F2591" s="40" t="s">
        <v>49</v>
      </c>
      <c r="G2591" s="36">
        <v>3</v>
      </c>
      <c r="H2591" s="134">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09" t="str">
        <f>VLOOKUP(B2591,辅助信息!E:J,6,FALSE)</f>
        <v>控制炉批号！多了现场不收！,优先安排达钢,提前联系到场规格及数量</v>
      </c>
      <c r="M2591" s="91">
        <v>45874</v>
      </c>
      <c r="O2591" s="62">
        <f ca="1" t="shared" si="161"/>
        <v>0</v>
      </c>
      <c r="P2591" s="62">
        <f ca="1" t="shared" si="162"/>
        <v>86</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0">
        <v>45873</v>
      </c>
      <c r="D2592" s="40" t="str">
        <f>VLOOKUP(B2592,辅助信息!E:K,7,FALSE)</f>
        <v>JWDDCD2025052800131</v>
      </c>
      <c r="E2592" s="40" t="str">
        <f>VLOOKUP(F2592,辅助信息!A:B,2,FALSE)</f>
        <v>盘螺</v>
      </c>
      <c r="F2592" s="40" t="s">
        <v>40</v>
      </c>
      <c r="G2592" s="36">
        <v>21</v>
      </c>
      <c r="H2592" s="134">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09" t="str">
        <f>VLOOKUP(B2592,辅助信息!E:J,6,FALSE)</f>
        <v>控制炉批号！多了现场不收！,优先安排达钢,提前联系到场规格及数量</v>
      </c>
      <c r="M2592" s="91">
        <v>45874</v>
      </c>
      <c r="O2592" s="62">
        <f ca="1" t="shared" si="161"/>
        <v>0</v>
      </c>
      <c r="P2592" s="62">
        <f ca="1" t="shared" si="162"/>
        <v>86</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0">
        <v>45873</v>
      </c>
      <c r="D2593" s="40" t="str">
        <f>VLOOKUP(B2593,辅助信息!E:K,7,FALSE)</f>
        <v>JWDDCD2025052800131</v>
      </c>
      <c r="E2593" s="40" t="str">
        <f>VLOOKUP(F2593,辅助信息!A:B,2,FALSE)</f>
        <v>盘螺</v>
      </c>
      <c r="F2593" s="40" t="s">
        <v>41</v>
      </c>
      <c r="G2593" s="36">
        <v>6</v>
      </c>
      <c r="H2593" s="134">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09" t="str">
        <f>VLOOKUP(B2593,辅助信息!E:J,6,FALSE)</f>
        <v>控制炉批号！多了现场不收！,优先安排达钢,提前联系到场规格及数量</v>
      </c>
      <c r="M2593" s="91">
        <v>45874</v>
      </c>
      <c r="O2593" s="62">
        <f ca="1" t="shared" si="161"/>
        <v>0</v>
      </c>
      <c r="P2593" s="62">
        <f ca="1" t="shared" si="162"/>
        <v>86</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0">
        <v>45873</v>
      </c>
      <c r="D2594" s="40" t="str">
        <f>VLOOKUP(B2594,辅助信息!E:K,7,FALSE)</f>
        <v>JWDDCD2025052800131</v>
      </c>
      <c r="E2594" s="40" t="str">
        <f>VLOOKUP(F2594,辅助信息!A:B,2,FALSE)</f>
        <v>螺纹钢</v>
      </c>
      <c r="F2594" s="40" t="s">
        <v>27</v>
      </c>
      <c r="G2594" s="36">
        <v>9</v>
      </c>
      <c r="H2594" s="134">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09" t="str">
        <f>VLOOKUP(B2594,辅助信息!E:J,6,FALSE)</f>
        <v>控制炉批号！多了现场不收！,优先安排达钢,提前联系到场规格及数量</v>
      </c>
      <c r="M2594" s="91">
        <v>45874</v>
      </c>
      <c r="O2594" s="62">
        <f ca="1" t="shared" si="161"/>
        <v>0</v>
      </c>
      <c r="P2594" s="62">
        <f ca="1" t="shared" si="162"/>
        <v>86</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0">
        <v>45873</v>
      </c>
      <c r="D2595" s="40" t="str">
        <f>VLOOKUP(B2595,辅助信息!E:K,7,FALSE)</f>
        <v>JWDDCD2025052800131</v>
      </c>
      <c r="E2595" s="40" t="str">
        <f>VLOOKUP(F2595,辅助信息!A:B,2,FALSE)</f>
        <v>螺纹钢</v>
      </c>
      <c r="F2595" s="40" t="s">
        <v>32</v>
      </c>
      <c r="G2595" s="36">
        <v>3</v>
      </c>
      <c r="H2595" s="134">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09" t="str">
        <f>VLOOKUP(B2595,辅助信息!E:J,6,FALSE)</f>
        <v>控制炉批号！多了现场不收！,优先安排达钢,提前联系到场规格及数量</v>
      </c>
      <c r="M2595" s="91">
        <v>45874</v>
      </c>
      <c r="O2595" s="62">
        <f ca="1" t="shared" si="161"/>
        <v>0</v>
      </c>
      <c r="P2595" s="62">
        <f ca="1" t="shared" si="162"/>
        <v>86</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0">
        <v>45873</v>
      </c>
      <c r="D2596" s="40" t="str">
        <f>VLOOKUP(B2596,辅助信息!E:K,7,FALSE)</f>
        <v>JWDDCD2025052800131</v>
      </c>
      <c r="E2596" s="40" t="str">
        <f>VLOOKUP(F2596,辅助信息!A:B,2,FALSE)</f>
        <v>螺纹钢</v>
      </c>
      <c r="F2596" s="40" t="s">
        <v>205</v>
      </c>
      <c r="G2596" s="36">
        <v>3</v>
      </c>
      <c r="H2596" s="134"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09" t="str">
        <f>VLOOKUP(B2596,辅助信息!E:J,6,FALSE)</f>
        <v>控制炉批号！多了现场不收！,优先安排达钢,提前联系到场规格及数量</v>
      </c>
      <c r="M2596" s="91">
        <v>45874</v>
      </c>
      <c r="O2596" s="62">
        <f ca="1" t="shared" si="161"/>
        <v>0</v>
      </c>
      <c r="P2596" s="62">
        <f ca="1" t="shared" si="162"/>
        <v>86</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0">
        <v>45873</v>
      </c>
      <c r="D2597" s="40" t="str">
        <f>VLOOKUP(B2597,辅助信息!E:K,7,FALSE)</f>
        <v>JWDDCD2025052800131</v>
      </c>
      <c r="E2597" s="40" t="str">
        <f>VLOOKUP(F2597,辅助信息!A:B,2,FALSE)</f>
        <v>螺纹钢</v>
      </c>
      <c r="F2597" s="40" t="s">
        <v>198</v>
      </c>
      <c r="G2597" s="36">
        <v>3</v>
      </c>
      <c r="H2597" s="134"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09" t="str">
        <f>VLOOKUP(B2597,辅助信息!E:J,6,FALSE)</f>
        <v>控制炉批号！多了现场不收！,优先安排达钢,提前联系到场规格及数量</v>
      </c>
      <c r="M2597" s="91">
        <v>45874</v>
      </c>
      <c r="O2597" s="62">
        <f ca="1" t="shared" si="161"/>
        <v>0</v>
      </c>
      <c r="P2597" s="62">
        <f ca="1" t="shared" si="162"/>
        <v>86</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0">
        <v>45873</v>
      </c>
      <c r="D2598" s="40" t="str">
        <f>VLOOKUP(B2598,辅助信息!E:K,7,FALSE)</f>
        <v>JWDDCD2025052800131</v>
      </c>
      <c r="E2598" s="40" t="str">
        <f>VLOOKUP(F2598,辅助信息!A:B,2,FALSE)</f>
        <v>螺纹钢</v>
      </c>
      <c r="F2598" s="40" t="s">
        <v>199</v>
      </c>
      <c r="G2598" s="36">
        <v>3</v>
      </c>
      <c r="H2598" s="134"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09" t="str">
        <f>VLOOKUP(B2598,辅助信息!E:J,6,FALSE)</f>
        <v>控制炉批号！多了现场不收！,优先安排达钢,提前联系到场规格及数量</v>
      </c>
      <c r="M2598" s="91">
        <v>45874</v>
      </c>
      <c r="O2598" s="62">
        <f ca="1" t="shared" si="161"/>
        <v>0</v>
      </c>
      <c r="P2598" s="62">
        <f ca="1" t="shared" si="162"/>
        <v>86</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0">
        <v>45873</v>
      </c>
      <c r="D2599" s="40" t="str">
        <f>VLOOKUP(B2599,辅助信息!E:K,7,FALSE)</f>
        <v>JWDDCD2025051800044</v>
      </c>
      <c r="E2599" s="40" t="str">
        <f>VLOOKUP(F2599,辅助信息!A:B,2,FALSE)</f>
        <v>螺纹钢</v>
      </c>
      <c r="F2599" s="40" t="s">
        <v>28</v>
      </c>
      <c r="G2599" s="36">
        <v>35</v>
      </c>
      <c r="H2599" s="134"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09"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1">
        <v>45874</v>
      </c>
      <c r="O2599" s="62">
        <f ca="1" t="shared" si="161"/>
        <v>0</v>
      </c>
      <c r="P2599" s="62">
        <f ca="1" t="shared" si="162"/>
        <v>86</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0">
        <v>45873</v>
      </c>
      <c r="D2600" s="40" t="str">
        <f>VLOOKUP(B2600,辅助信息!E:K,7,FALSE)</f>
        <v>JWDDCD2024121000136</v>
      </c>
      <c r="E2600" s="40" t="str">
        <f>VLOOKUP(F2600,辅助信息!A:B,2,FALSE)</f>
        <v>盘螺</v>
      </c>
      <c r="F2600" s="40" t="s">
        <v>49</v>
      </c>
      <c r="G2600" s="36">
        <v>32.5</v>
      </c>
      <c r="H2600" s="134">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09" t="str">
        <f>VLOOKUP(B2600,辅助信息!E:J,6,FALSE)</f>
        <v>提前联系到场规格及数量</v>
      </c>
      <c r="M2600" s="91">
        <v>45874</v>
      </c>
      <c r="O2600" s="62">
        <f ca="1" t="shared" si="161"/>
        <v>0</v>
      </c>
      <c r="P2600" s="62">
        <f ca="1" t="shared" si="162"/>
        <v>86</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0">
        <v>45873</v>
      </c>
      <c r="D2601" s="40" t="str">
        <f>VLOOKUP(B2601,辅助信息!E:K,7,FALSE)</f>
        <v>JWDDCD2024121000136</v>
      </c>
      <c r="E2601" s="40" t="str">
        <f>VLOOKUP(F2601,辅助信息!A:B,2,FALSE)</f>
        <v>螺纹钢</v>
      </c>
      <c r="F2601" s="40" t="s">
        <v>18</v>
      </c>
      <c r="G2601" s="36">
        <v>2.5</v>
      </c>
      <c r="H2601" s="134">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09" t="str">
        <f>VLOOKUP(B2601,辅助信息!E:J,6,FALSE)</f>
        <v>提前联系到场规格及数量</v>
      </c>
      <c r="M2601" s="91">
        <v>45874</v>
      </c>
      <c r="O2601" s="62">
        <f ca="1" t="shared" si="161"/>
        <v>0</v>
      </c>
      <c r="P2601" s="62">
        <f ca="1" t="shared" si="162"/>
        <v>86</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0">
        <v>45873</v>
      </c>
      <c r="D2602" s="40" t="str">
        <f>VLOOKUP(B2602,辅助信息!E:K,7,FALSE)</f>
        <v>JWDDCD2025052800131</v>
      </c>
      <c r="E2602" s="40" t="str">
        <f>VLOOKUP(F2602,辅助信息!A:B,2,FALSE)</f>
        <v>盘螺</v>
      </c>
      <c r="F2602" s="40" t="s">
        <v>49</v>
      </c>
      <c r="G2602" s="36">
        <v>5</v>
      </c>
      <c r="H2602" s="134">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09" t="str">
        <f>VLOOKUP(B2602,辅助信息!E:J,6,FALSE)</f>
        <v>控制炉批号！多了现场不收！,优先安排达钢,提前联系到场规格及数量</v>
      </c>
      <c r="M2602" s="91">
        <v>45874</v>
      </c>
      <c r="O2602" s="62">
        <f ca="1" t="shared" si="161"/>
        <v>0</v>
      </c>
      <c r="P2602" s="62">
        <f ca="1" t="shared" si="162"/>
        <v>86</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0">
        <v>45873</v>
      </c>
      <c r="D2603" s="40" t="str">
        <f>VLOOKUP(B2603,辅助信息!E:K,7,FALSE)</f>
        <v>JWDDCD2025052800131</v>
      </c>
      <c r="E2603" s="40" t="str">
        <f>VLOOKUP(F2603,辅助信息!A:B,2,FALSE)</f>
        <v>盘螺</v>
      </c>
      <c r="F2603" s="40" t="s">
        <v>40</v>
      </c>
      <c r="G2603" s="36">
        <v>9</v>
      </c>
      <c r="H2603" s="134">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09" t="str">
        <f>VLOOKUP(B2603,辅助信息!E:J,6,FALSE)</f>
        <v>控制炉批号！多了现场不收！,优先安排达钢,提前联系到场规格及数量</v>
      </c>
      <c r="M2603" s="91">
        <v>45874</v>
      </c>
      <c r="O2603" s="62">
        <f ca="1" t="shared" si="161"/>
        <v>0</v>
      </c>
      <c r="P2603" s="62">
        <f ca="1" t="shared" si="162"/>
        <v>86</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0">
        <v>45873</v>
      </c>
      <c r="D2604" s="40" t="str">
        <f>VLOOKUP(B2604,辅助信息!E:K,7,FALSE)</f>
        <v>JWDDCD2025052800131</v>
      </c>
      <c r="E2604" s="40" t="str">
        <f>VLOOKUP(F2604,辅助信息!A:B,2,FALSE)</f>
        <v>盘螺</v>
      </c>
      <c r="F2604" s="40" t="s">
        <v>41</v>
      </c>
      <c r="G2604" s="36">
        <f>6*2.5</f>
        <v>15</v>
      </c>
      <c r="H2604" s="134">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09" t="str">
        <f>VLOOKUP(B2604,辅助信息!E:J,6,FALSE)</f>
        <v>控制炉批号！多了现场不收！,优先安排达钢,提前联系到场规格及数量</v>
      </c>
      <c r="M2604" s="91">
        <v>45874</v>
      </c>
      <c r="O2604" s="62">
        <f ca="1" t="shared" si="161"/>
        <v>0</v>
      </c>
      <c r="P2604" s="62">
        <f ca="1" t="shared" si="162"/>
        <v>86</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7" t="s">
        <v>207</v>
      </c>
      <c r="B2605" s="40" t="s">
        <v>147</v>
      </c>
      <c r="C2605" s="70">
        <v>45873</v>
      </c>
      <c r="D2605" s="40" t="str">
        <f>VLOOKUP(B2605,辅助信息!E:K,7,FALSE)</f>
        <v>JWDDCD2025052800131</v>
      </c>
      <c r="E2605" s="40" t="str">
        <f>VLOOKUP(F2605,辅助信息!A:B,2,FALSE)</f>
        <v>螺纹钢</v>
      </c>
      <c r="F2605" s="40" t="s">
        <v>28</v>
      </c>
      <c r="G2605" s="36">
        <v>6</v>
      </c>
      <c r="H2605" s="134">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09" t="str">
        <f>VLOOKUP(B2605,辅助信息!E:J,6,FALSE)</f>
        <v>控制炉批号！多了现场不收！,优先安排达钢,提前联系到场规格及数量</v>
      </c>
      <c r="M2605" s="91">
        <v>45874</v>
      </c>
      <c r="O2605" s="62">
        <f ca="1" t="shared" si="161"/>
        <v>0</v>
      </c>
      <c r="P2605" s="62">
        <f ca="1" t="shared" si="162"/>
        <v>86</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0">
        <v>45874</v>
      </c>
      <c r="D2606" s="40" t="str">
        <f>VLOOKUP(B2606,辅助信息!E:K,7,FALSE)</f>
        <v>JWDDCD2025052800131</v>
      </c>
      <c r="E2606" s="40" t="str">
        <f>VLOOKUP(F2606,辅助信息!A:B,2,FALSE)</f>
        <v>螺纹钢</v>
      </c>
      <c r="F2606" s="40" t="s">
        <v>21</v>
      </c>
      <c r="G2606" s="36">
        <v>9</v>
      </c>
      <c r="H2606" s="134">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09" t="str">
        <f>VLOOKUP(B2606,辅助信息!E:J,6,FALSE)</f>
        <v>控制炉批号！多了现场不收！,优先安排达钢,提前联系到场规格及数量</v>
      </c>
      <c r="O2606" s="62" t="str">
        <f ca="1" t="shared" si="161"/>
        <v/>
      </c>
      <c r="P2606" s="62"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0">
        <v>45874</v>
      </c>
      <c r="D2607" s="40" t="str">
        <f>VLOOKUP(B2607,辅助信息!E:K,7,FALSE)</f>
        <v>JWDDCD2025052800131</v>
      </c>
      <c r="E2607" s="40" t="str">
        <f>VLOOKUP(F2607,辅助信息!A:B,2,FALSE)</f>
        <v>螺纹钢</v>
      </c>
      <c r="F2607" s="40" t="s">
        <v>58</v>
      </c>
      <c r="G2607" s="36">
        <v>9</v>
      </c>
      <c r="H2607" s="134">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09" t="str">
        <f>VLOOKUP(B2607,辅助信息!E:J,6,FALSE)</f>
        <v>控制炉批号！多了现场不收！,优先安排达钢,提前联系到场规格及数量</v>
      </c>
      <c r="O2607" s="62" t="str">
        <f ca="1" t="shared" si="161"/>
        <v/>
      </c>
      <c r="P2607" s="62"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0">
        <v>45874</v>
      </c>
      <c r="D2608" s="40" t="str">
        <f>VLOOKUP(B2608,辅助信息!E:K,7,FALSE)</f>
        <v>JWDDCD2025052800131</v>
      </c>
      <c r="E2608" s="40" t="str">
        <f>VLOOKUP(F2608,辅助信息!A:B,2,FALSE)</f>
        <v>螺纹钢</v>
      </c>
      <c r="F2608" s="40" t="s">
        <v>46</v>
      </c>
      <c r="G2608" s="36">
        <v>9</v>
      </c>
      <c r="H2608" s="134">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09" t="str">
        <f>VLOOKUP(B2608,辅助信息!E:J,6,FALSE)</f>
        <v>控制炉批号！多了现场不收！,优先安排达钢,提前联系到场规格及数量</v>
      </c>
      <c r="O2608" s="62" t="str">
        <f ca="1" t="shared" si="161"/>
        <v/>
      </c>
      <c r="P2608" s="62"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0">
        <v>45874</v>
      </c>
      <c r="D2609" s="40" t="str">
        <f>VLOOKUP(B2609,辅助信息!E:K,7,FALSE)</f>
        <v>JWDDCD2025052800131</v>
      </c>
      <c r="E2609" s="40" t="str">
        <f>VLOOKUP(F2609,辅助信息!A:B,2,FALSE)</f>
        <v>螺纹钢</v>
      </c>
      <c r="F2609" s="40" t="s">
        <v>22</v>
      </c>
      <c r="G2609" s="36">
        <v>15</v>
      </c>
      <c r="H2609" s="134">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09" t="str">
        <f>VLOOKUP(B2609,辅助信息!E:J,6,FALSE)</f>
        <v>控制炉批号！多了现场不收！,优先安排达钢,提前联系到场规格及数量</v>
      </c>
      <c r="O2609" s="62" t="str">
        <f ca="1" t="shared" si="161"/>
        <v/>
      </c>
      <c r="P2609" s="62"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0" t="s">
        <v>186</v>
      </c>
      <c r="C2610" s="70">
        <v>45875</v>
      </c>
      <c r="D2610" s="120" t="str">
        <f>VLOOKUP(B2610,辅助信息!E:K,7,FALSE)</f>
        <v>JWDDCD2025072900123</v>
      </c>
      <c r="E2610" s="120" t="str">
        <f>VLOOKUP(F2610,辅助信息!A:B,2,FALSE)</f>
        <v>螺纹钢</v>
      </c>
      <c r="F2610" s="120" t="s">
        <v>133</v>
      </c>
      <c r="G2610" s="121">
        <v>37</v>
      </c>
      <c r="H2610" s="134">
        <f>_xlfn.XLOOKUP(C2610&amp;F2610&amp;I2610&amp;J2610,'[1]2025年已发货'!$F:$F&amp;'[1]2025年已发货'!$C:$C&amp;'[1]2025年已发货'!$G:$G&amp;'[1]2025年已发货'!$H:$H,'[1]2025年已发货'!$E:$E,"未发货")</f>
        <v>35</v>
      </c>
      <c r="I2610" s="120" t="str">
        <f>VLOOKUP(B2610,辅助信息!E:I,3,FALSE)</f>
        <v>(乐山市校地共建产教融合基地建设项目二标段)四川省乐山市市中区苏稽镇</v>
      </c>
      <c r="J2610" s="120" t="str">
        <f>VLOOKUP(B2610,辅助信息!E:I,4,FALSE)</f>
        <v>彭江涛</v>
      </c>
      <c r="K2610" s="120">
        <f>VLOOKUP(J2610,辅助信息!H:I,2,FALSE)</f>
        <v>13990276572</v>
      </c>
      <c r="L2610" s="122" t="str">
        <f>VLOOKUP(B2610,辅助信息!E:J,6,FALSE)</f>
        <v>联系实际收货人（彭江涛13990276572）现场要求炉批号控制2个以下，超2个不给予签收。提前联系到场规格及数量</v>
      </c>
      <c r="M2610" s="91">
        <v>45875</v>
      </c>
      <c r="O2610" s="62">
        <f ca="1" t="shared" si="161"/>
        <v>0</v>
      </c>
      <c r="P2610" s="62">
        <f ca="1" t="shared" si="162"/>
        <v>85</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0" t="s">
        <v>186</v>
      </c>
      <c r="C2611" s="70">
        <v>45875</v>
      </c>
      <c r="D2611" s="120" t="str">
        <f>VLOOKUP(B2611,辅助信息!E:K,7,FALSE)</f>
        <v>JWDDCD2025072900123</v>
      </c>
      <c r="E2611" s="120" t="str">
        <f>VLOOKUP(F2611,辅助信息!A:B,2,FALSE)</f>
        <v>螺纹钢</v>
      </c>
      <c r="F2611" s="120" t="s">
        <v>91</v>
      </c>
      <c r="G2611" s="121">
        <f>192-35</f>
        <v>157</v>
      </c>
      <c r="H2611" s="134">
        <f>_xlfn.XLOOKUP(C2611&amp;F2611&amp;I2611&amp;J2611,'[1]2025年已发货'!$F:$F&amp;'[1]2025年已发货'!$C:$C&amp;'[1]2025年已发货'!$G:$G&amp;'[1]2025年已发货'!$H:$H,'[1]2025年已发货'!$E:$E,"未发货")</f>
        <v>140</v>
      </c>
      <c r="I2611" s="120" t="str">
        <f>VLOOKUP(B2611,辅助信息!E:I,3,FALSE)</f>
        <v>(乐山市校地共建产教融合基地建设项目二标段)四川省乐山市市中区苏稽镇</v>
      </c>
      <c r="J2611" s="120" t="str">
        <f>VLOOKUP(B2611,辅助信息!E:I,4,FALSE)</f>
        <v>彭江涛</v>
      </c>
      <c r="K2611" s="120">
        <f>VLOOKUP(J2611,辅助信息!H:I,2,FALSE)</f>
        <v>13990276572</v>
      </c>
      <c r="L2611" s="122" t="str">
        <f>VLOOKUP(B2611,辅助信息!E:J,6,FALSE)</f>
        <v>联系实际收货人（彭江涛13990276572）现场要求炉批号控制2个以下，超2个不给予签收。提前联系到场规格及数量</v>
      </c>
      <c r="M2611" s="91">
        <v>45875</v>
      </c>
      <c r="O2611" s="62">
        <f ca="1" t="shared" si="161"/>
        <v>0</v>
      </c>
      <c r="P2611" s="62">
        <f ca="1" t="shared" si="162"/>
        <v>85</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0">
        <v>45875</v>
      </c>
      <c r="D2612" s="40" t="str">
        <f>VLOOKUP(B2612,辅助信息!E:K,7,FALSE)</f>
        <v>JWDD2025071500089</v>
      </c>
      <c r="E2612" s="40" t="str">
        <f>VLOOKUP(F2612,辅助信息!A:B,2,FALSE)</f>
        <v>盘螺</v>
      </c>
      <c r="F2612" s="40" t="s">
        <v>40</v>
      </c>
      <c r="G2612" s="36">
        <v>10</v>
      </c>
      <c r="H2612" s="134"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09" t="str">
        <f>VLOOKUP(B2612,辅助信息!E:J,6,FALSE)</f>
        <v>现场要求调度统一联系指定收货人，不单独发司机位置。锈货不收，装货前联系收货人核实到场规格,没提前告知进场规格现场不给予接收</v>
      </c>
      <c r="M2612" s="91">
        <v>45875</v>
      </c>
      <c r="O2612" s="62">
        <f ca="1" t="shared" si="161"/>
        <v>0</v>
      </c>
      <c r="P2612" s="62">
        <f ca="1" t="shared" si="162"/>
        <v>85</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0">
        <v>45875</v>
      </c>
      <c r="D2613" s="40" t="str">
        <f>VLOOKUP(B2613,辅助信息!E:K,7,FALSE)</f>
        <v>JWDD2025071500089</v>
      </c>
      <c r="E2613" s="40" t="str">
        <f>VLOOKUP(F2613,辅助信息!A:B,2,FALSE)</f>
        <v>盘螺</v>
      </c>
      <c r="F2613" s="40" t="s">
        <v>41</v>
      </c>
      <c r="G2613" s="36">
        <v>15</v>
      </c>
      <c r="H2613" s="134"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09" t="str">
        <f>VLOOKUP(B2613,辅助信息!E:J,6,FALSE)</f>
        <v>现场要求调度统一联系指定收货人，不单独发司机位置。锈货不收，装货前联系收货人核实到场规格,没提前告知进场规格现场不给予接收</v>
      </c>
      <c r="M2613" s="91">
        <v>45875</v>
      </c>
      <c r="O2613" s="62">
        <f ca="1" t="shared" si="161"/>
        <v>0</v>
      </c>
      <c r="P2613" s="62">
        <f ca="1" t="shared" si="162"/>
        <v>85</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0">
        <v>45875</v>
      </c>
      <c r="D2614" s="40" t="str">
        <f>VLOOKUP(B2614,辅助信息!E:K,7,FALSE)</f>
        <v>JWDD2025071500089</v>
      </c>
      <c r="E2614" s="40" t="str">
        <f>VLOOKUP(F2614,辅助信息!A:B,2,FALSE)</f>
        <v>螺纹钢</v>
      </c>
      <c r="F2614" s="40" t="s">
        <v>19</v>
      </c>
      <c r="G2614" s="36">
        <v>70</v>
      </c>
      <c r="H2614" s="134">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09" t="str">
        <f>VLOOKUP(B2614,辅助信息!E:J,6,FALSE)</f>
        <v>现场要求调度统一联系指定收货人，不单独发司机位置。锈货不收，装货前联系收货人核实到场规格,没提前告知进场规格现场不给予接收</v>
      </c>
      <c r="M2614" s="91">
        <v>45875</v>
      </c>
      <c r="O2614" s="62">
        <f ca="1" t="shared" si="161"/>
        <v>0</v>
      </c>
      <c r="P2614" s="62">
        <f ca="1" t="shared" si="162"/>
        <v>85</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0">
        <v>45875</v>
      </c>
      <c r="D2615" s="40" t="str">
        <f>VLOOKUP(B2615,辅助信息!E:K,7,FALSE)</f>
        <v>JWDD2025071500089</v>
      </c>
      <c r="E2615" s="40" t="str">
        <f>VLOOKUP(F2615,辅助信息!A:B,2,FALSE)</f>
        <v>螺纹钢</v>
      </c>
      <c r="F2615" s="40" t="s">
        <v>32</v>
      </c>
      <c r="G2615" s="36">
        <v>35</v>
      </c>
      <c r="H2615" s="134">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09" t="str">
        <f>VLOOKUP(B2615,辅助信息!E:J,6,FALSE)</f>
        <v>现场要求调度统一联系指定收货人，不单独发司机位置。锈货不收，装货前联系收货人核实到场规格,没提前告知进场规格现场不给予接收</v>
      </c>
      <c r="M2615" s="91">
        <v>45875</v>
      </c>
      <c r="O2615" s="62">
        <f ca="1" t="shared" si="161"/>
        <v>0</v>
      </c>
      <c r="P2615" s="62">
        <f ca="1" t="shared" si="162"/>
        <v>85</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0">
        <v>45875</v>
      </c>
      <c r="D2616" s="40" t="str">
        <f>VLOOKUP(B2616,辅助信息!E:K,7,FALSE)</f>
        <v>JWDD2025071500089</v>
      </c>
      <c r="E2616" s="40" t="str">
        <f>VLOOKUP(F2616,辅助信息!A:B,2,FALSE)</f>
        <v>螺纹钢</v>
      </c>
      <c r="F2616" s="40" t="s">
        <v>30</v>
      </c>
      <c r="G2616" s="36">
        <v>20</v>
      </c>
      <c r="H2616" s="134">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09" t="str">
        <f>VLOOKUP(B2616,辅助信息!E:J,6,FALSE)</f>
        <v>现场要求调度统一联系指定收货人，不单独发司机位置。锈货不收，装货前联系收货人核实到场规格,没提前告知进场规格现场不给予接收</v>
      </c>
      <c r="M2616" s="91">
        <v>45875</v>
      </c>
      <c r="O2616" s="62">
        <f ca="1" t="shared" si="161"/>
        <v>0</v>
      </c>
      <c r="P2616" s="62">
        <f ca="1" t="shared" si="162"/>
        <v>85</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0">
        <v>45875</v>
      </c>
      <c r="D2617" s="40" t="str">
        <f>VLOOKUP(B2617,辅助信息!E:K,7,FALSE)</f>
        <v>JWDD2025071500089</v>
      </c>
      <c r="E2617" s="40" t="str">
        <f>VLOOKUP(F2617,辅助信息!A:B,2,FALSE)</f>
        <v>螺纹钢</v>
      </c>
      <c r="F2617" s="40" t="s">
        <v>33</v>
      </c>
      <c r="G2617" s="36">
        <v>5</v>
      </c>
      <c r="H2617" s="134">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09" t="str">
        <f>VLOOKUP(B2617,辅助信息!E:J,6,FALSE)</f>
        <v>现场要求调度统一联系指定收货人，不单独发司机位置。锈货不收，装货前联系收货人核实到场规格,没提前告知进场规格现场不给予接收</v>
      </c>
      <c r="M2617" s="91">
        <v>45875</v>
      </c>
      <c r="O2617" s="62">
        <f ca="1" t="shared" si="161"/>
        <v>0</v>
      </c>
      <c r="P2617" s="62">
        <f ca="1" t="shared" si="162"/>
        <v>85</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0">
        <v>45875</v>
      </c>
      <c r="D2618" s="40" t="str">
        <f>VLOOKUP(B2618,辅助信息!E:K,7,FALSE)</f>
        <v>JWDD2025071500089</v>
      </c>
      <c r="E2618" s="40" t="str">
        <f>VLOOKUP(F2618,辅助信息!A:B,2,FALSE)</f>
        <v>螺纹钢</v>
      </c>
      <c r="F2618" s="40" t="s">
        <v>28</v>
      </c>
      <c r="G2618" s="36">
        <v>20</v>
      </c>
      <c r="H2618" s="134">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09" t="str">
        <f>VLOOKUP(B2618,辅助信息!E:J,6,FALSE)</f>
        <v>现场要求调度统一联系指定收货人，不单独发司机位置。锈货不收，装货前联系收货人核实到场规格,没提前告知进场规格现场不给予接收</v>
      </c>
      <c r="M2618" s="91">
        <v>45875</v>
      </c>
      <c r="O2618" s="62">
        <f ca="1" t="shared" si="161"/>
        <v>0</v>
      </c>
      <c r="P2618" s="62">
        <f ca="1" t="shared" si="162"/>
        <v>85</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0">
        <v>45875</v>
      </c>
      <c r="D2619" s="40" t="str">
        <f>VLOOKUP(B2619,辅助信息!E:K,7,FALSE)</f>
        <v>JWDD2025071500089</v>
      </c>
      <c r="E2619" s="40" t="str">
        <f>VLOOKUP(F2619,辅助信息!A:B,2,FALSE)</f>
        <v>螺纹钢</v>
      </c>
      <c r="F2619" s="40" t="s">
        <v>18</v>
      </c>
      <c r="G2619" s="36">
        <v>35</v>
      </c>
      <c r="H2619" s="134">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09" t="str">
        <f>VLOOKUP(B2619,辅助信息!E:J,6,FALSE)</f>
        <v>现场要求调度统一联系指定收货人，不单独发司机位置。锈货不收，装货前联系收货人核实到场规格,没提前告知进场规格现场不给予接收</v>
      </c>
      <c r="M2619" s="91">
        <v>45875</v>
      </c>
      <c r="O2619" s="62">
        <f ca="1" t="shared" si="161"/>
        <v>0</v>
      </c>
      <c r="P2619" s="62">
        <f ca="1" t="shared" si="162"/>
        <v>85</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0">
        <v>45875</v>
      </c>
      <c r="D2620" s="40" t="str">
        <f>VLOOKUP(B2620,辅助信息!E:K,7,FALSE)</f>
        <v>JWDDCD2025060900080</v>
      </c>
      <c r="E2620" s="40" t="str">
        <f>VLOOKUP(F2620,辅助信息!A:B,2,FALSE)</f>
        <v>盘螺</v>
      </c>
      <c r="F2620" s="40" t="s">
        <v>49</v>
      </c>
      <c r="G2620" s="36">
        <v>2.5</v>
      </c>
      <c r="H2620" s="134">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09" t="str">
        <f>VLOOKUP(B2620,辅助信息!E:J,6,FALSE)</f>
        <v>现场禁止使用氢能源挂车！优先威钢发货,我方卸车,新老国标钢厂不加价可直发，因陕钢多次出现磅差，项目拒绝使用</v>
      </c>
      <c r="M2620" s="91">
        <v>45875</v>
      </c>
      <c r="O2620" s="62">
        <f ca="1" t="shared" si="161"/>
        <v>0</v>
      </c>
      <c r="P2620" s="62">
        <f ca="1" t="shared" si="162"/>
        <v>85</v>
      </c>
      <c r="Q2620" s="29" t="str">
        <f>VLOOKUP(B2620,辅助信息!E:M,9,FALSE)</f>
        <v>ZTWM-CDGS-XS-2024-0030-华西集采-简州大道</v>
      </c>
      <c r="R2620" s="29" t="str">
        <f>_xlfn._xlws.FILTER(辅助信息!D:D,辅助信息!E:E=B2620)</f>
        <v>华西简阳西城嘉苑</v>
      </c>
    </row>
    <row r="2621" hidden="1" spans="2:18">
      <c r="B2621" s="40" t="s">
        <v>81</v>
      </c>
      <c r="C2621" s="70">
        <v>45875</v>
      </c>
      <c r="D2621" s="40" t="str">
        <f>VLOOKUP(B2621,辅助信息!E:K,7,FALSE)</f>
        <v>JWDDCD2025060900080</v>
      </c>
      <c r="E2621" s="40" t="str">
        <f>VLOOKUP(F2621,辅助信息!A:B,2,FALSE)</f>
        <v>盘螺</v>
      </c>
      <c r="F2621" s="40" t="s">
        <v>40</v>
      </c>
      <c r="G2621" s="36">
        <v>49</v>
      </c>
      <c r="H2621" s="134">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09" t="str">
        <f>VLOOKUP(B2621,辅助信息!E:J,6,FALSE)</f>
        <v>现场禁止使用氢能源挂车！优先威钢发货,我方卸车,新老国标钢厂不加价可直发，因陕钢多次出现磅差，项目拒绝使用</v>
      </c>
      <c r="M2621" s="91">
        <v>45875</v>
      </c>
      <c r="O2621" s="62">
        <f ca="1" t="shared" si="161"/>
        <v>0</v>
      </c>
      <c r="P2621" s="62">
        <f ca="1" t="shared" si="162"/>
        <v>85</v>
      </c>
      <c r="Q2621" s="29" t="str">
        <f>VLOOKUP(B2621,辅助信息!E:M,9,FALSE)</f>
        <v>ZTWM-CDGS-XS-2024-0030-华西集采-简州大道</v>
      </c>
      <c r="R2621" s="29" t="str">
        <f>_xlfn._xlws.FILTER(辅助信息!D:D,辅助信息!E:E=B2621)</f>
        <v>华西简阳西城嘉苑</v>
      </c>
    </row>
    <row r="2622" hidden="1" spans="2:18">
      <c r="B2622" s="40" t="s">
        <v>81</v>
      </c>
      <c r="C2622" s="70">
        <v>45875</v>
      </c>
      <c r="D2622" s="40" t="str">
        <f>VLOOKUP(B2622,辅助信息!E:K,7,FALSE)</f>
        <v>JWDDCD2025060900080</v>
      </c>
      <c r="E2622" s="40" t="str">
        <f>VLOOKUP(F2622,辅助信息!A:B,2,FALSE)</f>
        <v>盘螺</v>
      </c>
      <c r="F2622" s="40" t="s">
        <v>41</v>
      </c>
      <c r="G2622" s="36">
        <v>12.5</v>
      </c>
      <c r="H2622" s="134">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09" t="str">
        <f>VLOOKUP(B2622,辅助信息!E:J,6,FALSE)</f>
        <v>现场禁止使用氢能源挂车！优先威钢发货,我方卸车,新老国标钢厂不加价可直发，因陕钢多次出现磅差，项目拒绝使用</v>
      </c>
      <c r="M2622" s="91">
        <v>45875</v>
      </c>
      <c r="O2622" s="62">
        <f ca="1" t="shared" si="161"/>
        <v>0</v>
      </c>
      <c r="P2622" s="62">
        <f ca="1" t="shared" si="162"/>
        <v>85</v>
      </c>
      <c r="Q2622" s="29" t="str">
        <f>VLOOKUP(B2622,辅助信息!E:M,9,FALSE)</f>
        <v>ZTWM-CDGS-XS-2024-0030-华西集采-简州大道</v>
      </c>
      <c r="R2622" s="29" t="str">
        <f>_xlfn._xlws.FILTER(辅助信息!D:D,辅助信息!E:E=B2622)</f>
        <v>华西简阳西城嘉苑</v>
      </c>
    </row>
    <row r="2623" hidden="1" spans="2:18">
      <c r="B2623" s="40" t="s">
        <v>81</v>
      </c>
      <c r="C2623" s="70">
        <v>45875</v>
      </c>
      <c r="D2623" s="40" t="str">
        <f>VLOOKUP(B2623,辅助信息!E:K,7,FALSE)</f>
        <v>JWDDCD2025060900080</v>
      </c>
      <c r="E2623" s="40" t="str">
        <f>VLOOKUP(F2623,辅助信息!A:B,2,FALSE)</f>
        <v>盘螺</v>
      </c>
      <c r="F2623" s="40" t="s">
        <v>26</v>
      </c>
      <c r="G2623" s="36">
        <v>24</v>
      </c>
      <c r="H2623" s="134">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09" t="str">
        <f>VLOOKUP(B2623,辅助信息!E:J,6,FALSE)</f>
        <v>现场禁止使用氢能源挂车！优先威钢发货,我方卸车,新老国标钢厂不加价可直发，因陕钢多次出现磅差，项目拒绝使用</v>
      </c>
      <c r="M2623" s="91">
        <v>45875</v>
      </c>
      <c r="O2623" s="62">
        <f ca="1" t="shared" si="161"/>
        <v>0</v>
      </c>
      <c r="P2623" s="62">
        <f ca="1" t="shared" si="162"/>
        <v>85</v>
      </c>
      <c r="Q2623" s="29" t="str">
        <f>VLOOKUP(B2623,辅助信息!E:M,9,FALSE)</f>
        <v>ZTWM-CDGS-XS-2024-0030-华西集采-简州大道</v>
      </c>
      <c r="R2623" s="29" t="str">
        <f>_xlfn._xlws.FILTER(辅助信息!D:D,辅助信息!E:E=B2623)</f>
        <v>华西简阳西城嘉苑</v>
      </c>
    </row>
    <row r="2624" hidden="1" spans="2:18">
      <c r="B2624" s="40" t="s">
        <v>81</v>
      </c>
      <c r="C2624" s="70">
        <v>45875</v>
      </c>
      <c r="D2624" s="40" t="str">
        <f>VLOOKUP(B2624,辅助信息!E:K,7,FALSE)</f>
        <v>JWDDCD2025060900080</v>
      </c>
      <c r="E2624" s="40" t="str">
        <f>VLOOKUP(F2624,辅助信息!A:B,2,FALSE)</f>
        <v>螺纹钢</v>
      </c>
      <c r="F2624" s="40" t="s">
        <v>19</v>
      </c>
      <c r="G2624" s="36">
        <v>95</v>
      </c>
      <c r="H2624" s="134">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09" t="str">
        <f>VLOOKUP(B2624,辅助信息!E:J,6,FALSE)</f>
        <v>现场禁止使用氢能源挂车！优先威钢发货,我方卸车,新老国标钢厂不加价可直发，因陕钢多次出现磅差，项目拒绝使用</v>
      </c>
      <c r="M2624" s="91">
        <v>45875</v>
      </c>
      <c r="O2624" s="62">
        <f ca="1" t="shared" si="161"/>
        <v>0</v>
      </c>
      <c r="P2624" s="62">
        <f ca="1" t="shared" si="162"/>
        <v>85</v>
      </c>
      <c r="Q2624" s="29" t="str">
        <f>VLOOKUP(B2624,辅助信息!E:M,9,FALSE)</f>
        <v>ZTWM-CDGS-XS-2024-0030-华西集采-简州大道</v>
      </c>
      <c r="R2624" s="29" t="str">
        <f>_xlfn._xlws.FILTER(辅助信息!D:D,辅助信息!E:E=B2624)</f>
        <v>华西简阳西城嘉苑</v>
      </c>
    </row>
    <row r="2625" hidden="1" spans="2:18">
      <c r="B2625" s="40" t="s">
        <v>81</v>
      </c>
      <c r="C2625" s="70">
        <v>45875</v>
      </c>
      <c r="D2625" s="40" t="str">
        <f>VLOOKUP(B2625,辅助信息!E:K,7,FALSE)</f>
        <v>JWDDCD2025060900080</v>
      </c>
      <c r="E2625" s="40" t="str">
        <f>VLOOKUP(F2625,辅助信息!A:B,2,FALSE)</f>
        <v>螺纹钢</v>
      </c>
      <c r="F2625" s="40" t="s">
        <v>32</v>
      </c>
      <c r="G2625" s="36">
        <v>9</v>
      </c>
      <c r="H2625" s="134">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09" t="str">
        <f>VLOOKUP(B2625,辅助信息!E:J,6,FALSE)</f>
        <v>现场禁止使用氢能源挂车！优先威钢发货,我方卸车,新老国标钢厂不加价可直发，因陕钢多次出现磅差，项目拒绝使用</v>
      </c>
      <c r="M2625" s="91">
        <v>45875</v>
      </c>
      <c r="O2625" s="62">
        <f ca="1" t="shared" si="161"/>
        <v>0</v>
      </c>
      <c r="P2625" s="62">
        <f ca="1" t="shared" si="162"/>
        <v>85</v>
      </c>
      <c r="Q2625" s="29" t="str">
        <f>VLOOKUP(B2625,辅助信息!E:M,9,FALSE)</f>
        <v>ZTWM-CDGS-XS-2024-0030-华西集采-简州大道</v>
      </c>
      <c r="R2625" s="29" t="str">
        <f>_xlfn._xlws.FILTER(辅助信息!D:D,辅助信息!E:E=B2625)</f>
        <v>华西简阳西城嘉苑</v>
      </c>
    </row>
    <row r="2626" hidden="1" spans="2:18">
      <c r="B2626" s="40" t="s">
        <v>81</v>
      </c>
      <c r="C2626" s="70">
        <v>45875</v>
      </c>
      <c r="D2626" s="40" t="str">
        <f>VLOOKUP(B2626,辅助信息!E:K,7,FALSE)</f>
        <v>JWDDCD2025060900080</v>
      </c>
      <c r="E2626" s="40" t="str">
        <f>VLOOKUP(F2626,辅助信息!A:B,2,FALSE)</f>
        <v>螺纹钢</v>
      </c>
      <c r="F2626" s="40" t="s">
        <v>30</v>
      </c>
      <c r="G2626" s="36">
        <v>21.5</v>
      </c>
      <c r="H2626" s="134">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09" t="str">
        <f>VLOOKUP(B2626,辅助信息!E:J,6,FALSE)</f>
        <v>现场禁止使用氢能源挂车！优先威钢发货,我方卸车,新老国标钢厂不加价可直发，因陕钢多次出现磅差，项目拒绝使用</v>
      </c>
      <c r="M2626" s="91">
        <v>45875</v>
      </c>
      <c r="O2626" s="62">
        <f ca="1" t="shared" si="161"/>
        <v>0</v>
      </c>
      <c r="P2626" s="62">
        <f ca="1" t="shared" si="162"/>
        <v>85</v>
      </c>
      <c r="Q2626" s="29" t="str">
        <f>VLOOKUP(B2626,辅助信息!E:M,9,FALSE)</f>
        <v>ZTWM-CDGS-XS-2024-0030-华西集采-简州大道</v>
      </c>
      <c r="R2626" s="29" t="str">
        <f>_xlfn._xlws.FILTER(辅助信息!D:D,辅助信息!E:E=B2626)</f>
        <v>华西简阳西城嘉苑</v>
      </c>
    </row>
    <row r="2627" hidden="1" spans="2:18">
      <c r="B2627" s="40" t="s">
        <v>81</v>
      </c>
      <c r="C2627" s="70">
        <v>45875</v>
      </c>
      <c r="D2627" s="40" t="str">
        <f>VLOOKUP(B2627,辅助信息!E:K,7,FALSE)</f>
        <v>JWDDCD2025060900080</v>
      </c>
      <c r="E2627" s="40" t="str">
        <f>VLOOKUP(F2627,辅助信息!A:B,2,FALSE)</f>
        <v>螺纹钢</v>
      </c>
      <c r="F2627" s="40" t="s">
        <v>18</v>
      </c>
      <c r="G2627" s="36">
        <v>10</v>
      </c>
      <c r="H2627" s="134">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09" t="str">
        <f>VLOOKUP(B2627,辅助信息!E:J,6,FALSE)</f>
        <v>现场禁止使用氢能源挂车！优先威钢发货,我方卸车,新老国标钢厂不加价可直发，因陕钢多次出现磅差，项目拒绝使用</v>
      </c>
      <c r="M2627" s="91">
        <v>45875</v>
      </c>
      <c r="O2627" s="62">
        <f ca="1" t="shared" si="161"/>
        <v>0</v>
      </c>
      <c r="P2627" s="62">
        <f ca="1" t="shared" si="162"/>
        <v>85</v>
      </c>
      <c r="Q2627" s="29" t="str">
        <f>VLOOKUP(B2627,辅助信息!E:M,9,FALSE)</f>
        <v>ZTWM-CDGS-XS-2024-0030-华西集采-简州大道</v>
      </c>
      <c r="R2627" s="29" t="str">
        <f>_xlfn._xlws.FILTER(辅助信息!D:D,辅助信息!E:E=B2627)</f>
        <v>华西简阳西城嘉苑</v>
      </c>
    </row>
    <row r="2628" hidden="1" spans="2:18">
      <c r="B2628" s="40" t="s">
        <v>81</v>
      </c>
      <c r="C2628" s="70">
        <v>45875</v>
      </c>
      <c r="D2628" s="40" t="str">
        <f>VLOOKUP(B2628,辅助信息!E:K,7,FALSE)</f>
        <v>JWDDCD2025060900080</v>
      </c>
      <c r="E2628" s="40" t="str">
        <f>VLOOKUP(F2628,辅助信息!A:B,2,FALSE)</f>
        <v>螺纹钢</v>
      </c>
      <c r="F2628" s="40" t="s">
        <v>52</v>
      </c>
      <c r="G2628" s="36">
        <v>6</v>
      </c>
      <c r="H2628" s="134">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09" t="str">
        <f>VLOOKUP(B2628,辅助信息!E:J,6,FALSE)</f>
        <v>现场禁止使用氢能源挂车！优先威钢发货,我方卸车,新老国标钢厂不加价可直发，因陕钢多次出现磅差，项目拒绝使用</v>
      </c>
      <c r="M2628" s="91">
        <v>45875</v>
      </c>
      <c r="O2628" s="62">
        <f ca="1" t="shared" si="161"/>
        <v>0</v>
      </c>
      <c r="P2628" s="62">
        <f ca="1" t="shared" si="162"/>
        <v>85</v>
      </c>
      <c r="Q2628" s="29" t="str">
        <f>VLOOKUP(B2628,辅助信息!E:M,9,FALSE)</f>
        <v>ZTWM-CDGS-XS-2024-0030-华西集采-简州大道</v>
      </c>
      <c r="R2628" s="29" t="str">
        <f>_xlfn._xlws.FILTER(辅助信息!D:D,辅助信息!E:E=B2628)</f>
        <v>华西简阳西城嘉苑</v>
      </c>
    </row>
    <row r="2629" hidden="1" spans="2:18">
      <c r="B2629" s="40" t="s">
        <v>192</v>
      </c>
      <c r="C2629" s="70">
        <v>45875</v>
      </c>
      <c r="D2629" s="40" t="str">
        <f>VLOOKUP(B2629,辅助信息!E:K,7,FALSE)</f>
        <v>JWDDCD2025102100475</v>
      </c>
      <c r="E2629" s="40" t="str">
        <f>VLOOKUP(F2629,辅助信息!A:B,2,FALSE)</f>
        <v>螺纹钢</v>
      </c>
      <c r="F2629" s="40" t="s">
        <v>27</v>
      </c>
      <c r="G2629" s="36">
        <v>5</v>
      </c>
      <c r="H2629" s="134">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09"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1">
        <v>45875</v>
      </c>
      <c r="O2629" s="62">
        <f ca="1" t="shared" si="161"/>
        <v>0</v>
      </c>
      <c r="P2629" s="62">
        <f ca="1" t="shared" si="162"/>
        <v>85</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0">
        <v>45875</v>
      </c>
      <c r="D2630" s="40" t="str">
        <f>VLOOKUP(B2630,辅助信息!E:K,7,FALSE)</f>
        <v>JWDDCD2025102100475</v>
      </c>
      <c r="E2630" s="40" t="str">
        <f>VLOOKUP(F2630,辅助信息!A:B,2,FALSE)</f>
        <v>螺纹钢</v>
      </c>
      <c r="F2630" s="40" t="s">
        <v>19</v>
      </c>
      <c r="G2630" s="36">
        <v>7</v>
      </c>
      <c r="H2630" s="134">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09"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1">
        <v>45875</v>
      </c>
      <c r="O2630" s="62">
        <f ca="1" t="shared" si="161"/>
        <v>0</v>
      </c>
      <c r="P2630" s="62">
        <f ca="1" t="shared" si="162"/>
        <v>85</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0">
        <v>45875</v>
      </c>
      <c r="D2631" s="40" t="str">
        <f>VLOOKUP(B2631,辅助信息!E:K,7,FALSE)</f>
        <v>JWDDCD2025102100475</v>
      </c>
      <c r="E2631" s="40" t="str">
        <f>VLOOKUP(F2631,辅助信息!A:B,2,FALSE)</f>
        <v>螺纹钢</v>
      </c>
      <c r="F2631" s="40" t="s">
        <v>32</v>
      </c>
      <c r="G2631" s="36">
        <v>7</v>
      </c>
      <c r="H2631" s="134">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09"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1">
        <v>45875</v>
      </c>
      <c r="O2631" s="62">
        <f ca="1" t="shared" si="161"/>
        <v>0</v>
      </c>
      <c r="P2631" s="62">
        <f ca="1" t="shared" si="162"/>
        <v>85</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0">
        <v>45875</v>
      </c>
      <c r="D2632" s="40" t="str">
        <f>VLOOKUP(B2632,辅助信息!E:K,7,FALSE)</f>
        <v>JWDDCD2025102100475</v>
      </c>
      <c r="E2632" s="40" t="str">
        <f>VLOOKUP(F2632,辅助信息!A:B,2,FALSE)</f>
        <v>螺纹钢</v>
      </c>
      <c r="F2632" s="40" t="s">
        <v>30</v>
      </c>
      <c r="G2632" s="36">
        <v>10</v>
      </c>
      <c r="H2632" s="134">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09"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1">
        <v>45875</v>
      </c>
      <c r="O2632" s="62">
        <f ca="1" t="shared" si="161"/>
        <v>0</v>
      </c>
      <c r="P2632" s="62">
        <f ca="1" t="shared" si="162"/>
        <v>85</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0">
        <v>45875</v>
      </c>
      <c r="D2633" s="40" t="str">
        <f>VLOOKUP(B2633,辅助信息!E:K,7,FALSE)</f>
        <v>JWDDCD2025102100475</v>
      </c>
      <c r="E2633" s="40" t="str">
        <f>VLOOKUP(F2633,辅助信息!A:B,2,FALSE)</f>
        <v>螺纹钢</v>
      </c>
      <c r="F2633" s="40" t="s">
        <v>28</v>
      </c>
      <c r="G2633" s="36">
        <v>7</v>
      </c>
      <c r="H2633" s="134">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09"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1">
        <v>45875</v>
      </c>
      <c r="O2633" s="62">
        <f ca="1" t="shared" si="161"/>
        <v>0</v>
      </c>
      <c r="P2633" s="62">
        <f ca="1" t="shared" si="162"/>
        <v>85</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0">
        <v>45875</v>
      </c>
      <c r="D2634" s="40" t="str">
        <f>VLOOKUP(B2634,辅助信息!E:K,7,FALSE)</f>
        <v>JWDDCD2025072900121</v>
      </c>
      <c r="E2634" s="40" t="str">
        <f>VLOOKUP(F2634,辅助信息!A:B,2,FALSE)</f>
        <v>盘螺</v>
      </c>
      <c r="F2634" s="40" t="s">
        <v>41</v>
      </c>
      <c r="G2634" s="36">
        <v>3</v>
      </c>
      <c r="H2634" s="134">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09" t="str">
        <f>VLOOKUP(B2634,辅助信息!E:J,6,FALSE)</f>
        <v>联系实际收货人（范增云13668153241）现场要求炉批号控制2个以下，超2个不给予签收。提前联系到场规格及数量</v>
      </c>
      <c r="M2634" s="91">
        <v>45875</v>
      </c>
      <c r="O2634" s="62">
        <f ca="1" t="shared" si="161"/>
        <v>0</v>
      </c>
      <c r="P2634" s="62">
        <f ca="1" t="shared" si="162"/>
        <v>85</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0">
        <v>45875</v>
      </c>
      <c r="D2635" s="40" t="str">
        <f>VLOOKUP(B2635,辅助信息!E:K,7,FALSE)</f>
        <v>JWDDCD2025072900121</v>
      </c>
      <c r="E2635" s="40" t="str">
        <f>VLOOKUP(F2635,辅助信息!A:B,2,FALSE)</f>
        <v>螺纹钢</v>
      </c>
      <c r="F2635" s="40" t="s">
        <v>27</v>
      </c>
      <c r="G2635" s="36">
        <v>9</v>
      </c>
      <c r="H2635" s="134">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09" t="str">
        <f>VLOOKUP(B2635,辅助信息!E:J,6,FALSE)</f>
        <v>联系实际收货人（范增云13668153241）现场要求炉批号控制2个以下，超2个不给予签收。提前联系到场规格及数量</v>
      </c>
      <c r="M2635" s="91">
        <v>45875</v>
      </c>
      <c r="O2635" s="62">
        <f ca="1" t="shared" si="161"/>
        <v>0</v>
      </c>
      <c r="P2635" s="62">
        <f ca="1" t="shared" si="162"/>
        <v>85</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0">
        <v>45875</v>
      </c>
      <c r="D2636" s="40" t="str">
        <f>VLOOKUP(B2636,辅助信息!E:K,7,FALSE)</f>
        <v>JWDDCD2025072900121</v>
      </c>
      <c r="E2636" s="40" t="str">
        <f>VLOOKUP(F2636,辅助信息!A:B,2,FALSE)</f>
        <v>螺纹钢</v>
      </c>
      <c r="F2636" s="40" t="s">
        <v>19</v>
      </c>
      <c r="G2636" s="36">
        <v>6</v>
      </c>
      <c r="H2636" s="134">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09" t="str">
        <f>VLOOKUP(B2636,辅助信息!E:J,6,FALSE)</f>
        <v>联系实际收货人（范增云13668153241）现场要求炉批号控制2个以下，超2个不给予签收。提前联系到场规格及数量</v>
      </c>
      <c r="M2636" s="91">
        <v>45875</v>
      </c>
      <c r="O2636" s="62">
        <f ca="1" t="shared" si="161"/>
        <v>0</v>
      </c>
      <c r="P2636" s="62">
        <f ca="1" t="shared" si="162"/>
        <v>85</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0">
        <v>45875</v>
      </c>
      <c r="D2637" s="40" t="str">
        <f>VLOOKUP(B2637,辅助信息!E:K,7,FALSE)</f>
        <v>JWDDCD2025072900121</v>
      </c>
      <c r="E2637" s="40" t="str">
        <f>VLOOKUP(F2637,辅助信息!A:B,2,FALSE)</f>
        <v>螺纹钢</v>
      </c>
      <c r="F2637" s="40" t="s">
        <v>30</v>
      </c>
      <c r="G2637" s="36">
        <v>3</v>
      </c>
      <c r="H2637" s="134">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09" t="str">
        <f>VLOOKUP(B2637,辅助信息!E:J,6,FALSE)</f>
        <v>联系实际收货人（范增云13668153241）现场要求炉批号控制2个以下，超2个不给予签收。提前联系到场规格及数量</v>
      </c>
      <c r="M2637" s="91">
        <v>45875</v>
      </c>
      <c r="O2637" s="62">
        <f ca="1" t="shared" si="161"/>
        <v>0</v>
      </c>
      <c r="P2637" s="62">
        <f ca="1" t="shared" si="162"/>
        <v>85</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0">
        <v>45875</v>
      </c>
      <c r="D2638" s="40" t="str">
        <f>VLOOKUP(B2638,辅助信息!E:K,7,FALSE)</f>
        <v>JWDDCD2025072900121</v>
      </c>
      <c r="E2638" s="40" t="str">
        <f>VLOOKUP(F2638,辅助信息!A:B,2,FALSE)</f>
        <v>螺纹钢</v>
      </c>
      <c r="F2638" s="40" t="s">
        <v>33</v>
      </c>
      <c r="G2638" s="36">
        <v>6</v>
      </c>
      <c r="H2638" s="134">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09" t="str">
        <f>VLOOKUP(B2638,辅助信息!E:J,6,FALSE)</f>
        <v>联系实际收货人（范增云13668153241）现场要求炉批号控制2个以下，超2个不给予签收。提前联系到场规格及数量</v>
      </c>
      <c r="M2638" s="91">
        <v>45875</v>
      </c>
      <c r="O2638" s="62">
        <f ca="1" t="shared" si="161"/>
        <v>0</v>
      </c>
      <c r="P2638" s="62">
        <f ca="1" t="shared" si="162"/>
        <v>85</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0">
        <v>45875</v>
      </c>
      <c r="D2639" s="40" t="str">
        <f>VLOOKUP(B2639,辅助信息!E:K,7,FALSE)</f>
        <v>JWDDCD2025072900121</v>
      </c>
      <c r="E2639" s="40" t="str">
        <f>VLOOKUP(F2639,辅助信息!A:B,2,FALSE)</f>
        <v>螺纹钢</v>
      </c>
      <c r="F2639" s="40" t="s">
        <v>28</v>
      </c>
      <c r="G2639" s="36">
        <v>6</v>
      </c>
      <c r="H2639" s="134">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09" t="str">
        <f>VLOOKUP(B2639,辅助信息!E:J,6,FALSE)</f>
        <v>联系实际收货人（范增云13668153241）现场要求炉批号控制2个以下，超2个不给予签收。提前联系到场规格及数量</v>
      </c>
      <c r="M2639" s="91">
        <v>45875</v>
      </c>
      <c r="O2639" s="62">
        <f ca="1" t="shared" si="161"/>
        <v>0</v>
      </c>
      <c r="P2639" s="62">
        <f ca="1" t="shared" si="162"/>
        <v>85</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0">
        <v>45875</v>
      </c>
      <c r="D2640" s="40" t="str">
        <f>VLOOKUP(B2640,辅助信息!E:K,7,FALSE)</f>
        <v>JWDDCD2025072900121</v>
      </c>
      <c r="E2640" s="40" t="str">
        <f>VLOOKUP(F2640,辅助信息!A:B,2,FALSE)</f>
        <v>螺纹钢</v>
      </c>
      <c r="F2640" s="40" t="s">
        <v>18</v>
      </c>
      <c r="G2640" s="36">
        <v>54</v>
      </c>
      <c r="H2640" s="134">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09" t="str">
        <f>VLOOKUP(B2640,辅助信息!E:J,6,FALSE)</f>
        <v>联系实际收货人（范增云13668153241）现场要求炉批号控制2个以下，超2个不给予签收。提前联系到场规格及数量</v>
      </c>
      <c r="M2640" s="91">
        <v>45875</v>
      </c>
      <c r="O2640" s="62">
        <f ca="1" t="shared" si="161"/>
        <v>0</v>
      </c>
      <c r="P2640" s="62">
        <f ca="1" t="shared" si="162"/>
        <v>85</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0">
        <v>45875</v>
      </c>
      <c r="D2641" s="40" t="str">
        <f>VLOOKUP(B2641,辅助信息!E:K,7,FALSE)</f>
        <v>JWDDCD2025072900121</v>
      </c>
      <c r="E2641" s="40" t="str">
        <f>VLOOKUP(F2641,辅助信息!A:B,2,FALSE)</f>
        <v>螺纹钢</v>
      </c>
      <c r="F2641" s="40" t="s">
        <v>142</v>
      </c>
      <c r="G2641" s="36">
        <v>3</v>
      </c>
      <c r="H2641" s="134">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09" t="str">
        <f>VLOOKUP(B2641,辅助信息!E:J,6,FALSE)</f>
        <v>联系实际收货人（范增云13668153241）现场要求炉批号控制2个以下，超2个不给予签收。提前联系到场规格及数量</v>
      </c>
      <c r="M2641" s="91">
        <v>45875</v>
      </c>
      <c r="O2641" s="62">
        <f ca="1" t="shared" si="161"/>
        <v>0</v>
      </c>
      <c r="P2641" s="62">
        <f ca="1" t="shared" si="162"/>
        <v>85</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0">
        <v>45875</v>
      </c>
      <c r="D2642" s="40" t="str">
        <f>VLOOKUP(B2642,辅助信息!E:K,7,FALSE)</f>
        <v>JWDDCD2025072900121</v>
      </c>
      <c r="E2642" s="40" t="str">
        <f>VLOOKUP(F2642,辅助信息!A:B,2,FALSE)</f>
        <v>螺纹钢</v>
      </c>
      <c r="F2642" s="40" t="s">
        <v>200</v>
      </c>
      <c r="G2642" s="36">
        <v>3</v>
      </c>
      <c r="H2642" s="134">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09" t="str">
        <f>VLOOKUP(B2642,辅助信息!E:J,6,FALSE)</f>
        <v>联系实际收货人（范增云13668153241）现场要求炉批号控制2个以下，超2个不给予签收。提前联系到场规格及数量</v>
      </c>
      <c r="M2642" s="91">
        <v>45875</v>
      </c>
      <c r="O2642" s="62">
        <f ca="1" t="shared" si="161"/>
        <v>0</v>
      </c>
      <c r="P2642" s="62">
        <f ca="1" t="shared" si="162"/>
        <v>85</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0">
        <v>45875</v>
      </c>
      <c r="D2643" s="40" t="str">
        <f>VLOOKUP(B2643,辅助信息!E:K,7,FALSE)</f>
        <v>JWDDCD2025072900121</v>
      </c>
      <c r="E2643" s="40" t="str">
        <f>VLOOKUP(F2643,辅助信息!A:B,2,FALSE)</f>
        <v>螺纹钢</v>
      </c>
      <c r="F2643" s="40" t="s">
        <v>201</v>
      </c>
      <c r="G2643" s="36">
        <v>6</v>
      </c>
      <c r="H2643" s="134">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09" t="str">
        <f>VLOOKUP(B2643,辅助信息!E:J,6,FALSE)</f>
        <v>联系实际收货人（范增云13668153241）现场要求炉批号控制2个以下，超2个不给予签收。提前联系到场规格及数量</v>
      </c>
      <c r="M2643" s="91">
        <v>45875</v>
      </c>
      <c r="O2643" s="62">
        <f ca="1" t="shared" si="161"/>
        <v>0</v>
      </c>
      <c r="P2643" s="62">
        <f ca="1" t="shared" si="162"/>
        <v>85</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0" t="s">
        <v>194</v>
      </c>
      <c r="C2644" s="70">
        <v>45876</v>
      </c>
      <c r="D2644" s="120" t="str">
        <f>VLOOKUP(B2644,辅助信息!E:K,7,FALSE)</f>
        <v>JWDD2025071500089</v>
      </c>
      <c r="E2644" s="120" t="str">
        <f>VLOOKUP(F2644,辅助信息!A:B,2,FALSE)</f>
        <v>盘螺</v>
      </c>
      <c r="F2644" s="120" t="s">
        <v>40</v>
      </c>
      <c r="G2644" s="121">
        <v>10</v>
      </c>
      <c r="H2644" s="134" t="str">
        <f>_xlfn.XLOOKUP(C2644&amp;F2644&amp;I2644&amp;J2644,'[1]2025年已发货'!$F:$F&amp;'[1]2025年已发货'!$C:$C&amp;'[1]2025年已发货'!$G:$G&amp;'[1]2025年已发货'!$H:$H,'[1]2025年已发货'!$E:$E,"未发货")</f>
        <v>未发货</v>
      </c>
      <c r="I2644" s="120" t="str">
        <f>VLOOKUP(B2644,辅助信息!E:I,3,FALSE)</f>
        <v>(宜宾兴港三江新区长江工业园保障性租赁住房建设项目-土建)四川省宜宾市翠屏区永善路南段宜宾市三江新区长江工业园区</v>
      </c>
      <c r="J2644" s="120" t="str">
        <f>VLOOKUP(B2644,辅助信息!E:I,4,FALSE)</f>
        <v>赵元虎</v>
      </c>
      <c r="K2644" s="120">
        <f>VLOOKUP(J2644,辅助信息!H:I,2,FALSE)</f>
        <v>13684167136</v>
      </c>
      <c r="L2644" s="122" t="str">
        <f>VLOOKUP(B2644,辅助信息!E:J,6,FALSE)</f>
        <v>现场要求调度统一联系指定收货人，不单独发司机位置。锈货不收，装货前联系收货人核实到场规格,没提前告知进场规格现场不给予接收</v>
      </c>
      <c r="M2644" s="91">
        <v>45875</v>
      </c>
      <c r="O2644" s="62">
        <f ca="1" t="shared" si="161"/>
        <v>0</v>
      </c>
      <c r="P2644" s="62">
        <f ca="1" t="shared" si="162"/>
        <v>85</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0" t="s">
        <v>194</v>
      </c>
      <c r="C2645" s="70">
        <v>45876</v>
      </c>
      <c r="D2645" s="120" t="str">
        <f>VLOOKUP(B2645,辅助信息!E:K,7,FALSE)</f>
        <v>JWDD2025071500089</v>
      </c>
      <c r="E2645" s="120" t="str">
        <f>VLOOKUP(F2645,辅助信息!A:B,2,FALSE)</f>
        <v>盘螺</v>
      </c>
      <c r="F2645" s="120" t="s">
        <v>41</v>
      </c>
      <c r="G2645" s="121">
        <v>15</v>
      </c>
      <c r="H2645" s="134" t="str">
        <f>_xlfn.XLOOKUP(C2645&amp;F2645&amp;I2645&amp;J2645,'[1]2025年已发货'!$F:$F&amp;'[1]2025年已发货'!$C:$C&amp;'[1]2025年已发货'!$G:$G&amp;'[1]2025年已发货'!$H:$H,'[1]2025年已发货'!$E:$E,"未发货")</f>
        <v>未发货</v>
      </c>
      <c r="I2645" s="120" t="str">
        <f>VLOOKUP(B2645,辅助信息!E:I,3,FALSE)</f>
        <v>(宜宾兴港三江新区长江工业园保障性租赁住房建设项目-土建)四川省宜宾市翠屏区永善路南段宜宾市三江新区长江工业园区</v>
      </c>
      <c r="J2645" s="120" t="str">
        <f>VLOOKUP(B2645,辅助信息!E:I,4,FALSE)</f>
        <v>赵元虎</v>
      </c>
      <c r="K2645" s="120">
        <f>VLOOKUP(J2645,辅助信息!H:I,2,FALSE)</f>
        <v>13684167136</v>
      </c>
      <c r="L2645" s="122" t="str">
        <f>VLOOKUP(B2645,辅助信息!E:J,6,FALSE)</f>
        <v>现场要求调度统一联系指定收货人，不单独发司机位置。锈货不收，装货前联系收货人核实到场规格,没提前告知进场规格现场不给予接收</v>
      </c>
      <c r="M2645" s="91">
        <v>45875</v>
      </c>
      <c r="O2645" s="62">
        <f ca="1" t="shared" si="161"/>
        <v>0</v>
      </c>
      <c r="P2645" s="62">
        <f ca="1" t="shared" si="162"/>
        <v>85</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0" t="s">
        <v>194</v>
      </c>
      <c r="C2646" s="70">
        <v>45876</v>
      </c>
      <c r="D2646" s="120" t="str">
        <f>VLOOKUP(B2646,辅助信息!E:K,7,FALSE)</f>
        <v>JWDD2025071500089</v>
      </c>
      <c r="E2646" s="120" t="str">
        <f>VLOOKUP(F2646,辅助信息!A:B,2,FALSE)</f>
        <v>螺纹钢</v>
      </c>
      <c r="F2646" s="120" t="s">
        <v>18</v>
      </c>
      <c r="G2646" s="121">
        <v>10</v>
      </c>
      <c r="H2646" s="134" t="str">
        <f>_xlfn.XLOOKUP(C2646&amp;F2646&amp;I2646&amp;J2646,'[1]2025年已发货'!$F:$F&amp;'[1]2025年已发货'!$C:$C&amp;'[1]2025年已发货'!$G:$G&amp;'[1]2025年已发货'!$H:$H,'[1]2025年已发货'!$E:$E,"未发货")</f>
        <v>未发货</v>
      </c>
      <c r="I2646" s="120" t="str">
        <f>VLOOKUP(B2646,辅助信息!E:I,3,FALSE)</f>
        <v>(宜宾兴港三江新区长江工业园保障性租赁住房建设项目-土建)四川省宜宾市翠屏区永善路南段宜宾市三江新区长江工业园区</v>
      </c>
      <c r="J2646" s="120" t="str">
        <f>VLOOKUP(B2646,辅助信息!E:I,4,FALSE)</f>
        <v>赵元虎</v>
      </c>
      <c r="K2646" s="120">
        <f>VLOOKUP(J2646,辅助信息!H:I,2,FALSE)</f>
        <v>13684167136</v>
      </c>
      <c r="L2646" s="122" t="str">
        <f>VLOOKUP(B2646,辅助信息!E:J,6,FALSE)</f>
        <v>现场要求调度统一联系指定收货人，不单独发司机位置。锈货不收，装货前联系收货人核实到场规格,没提前告知进场规格现场不给予接收</v>
      </c>
      <c r="M2646" s="91">
        <v>45875</v>
      </c>
      <c r="O2646" s="62">
        <f ca="1" t="shared" si="161"/>
        <v>0</v>
      </c>
      <c r="P2646" s="62">
        <f ca="1" t="shared" si="162"/>
        <v>85</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0">
        <v>45877</v>
      </c>
      <c r="D2647" s="40" t="str">
        <f>VLOOKUP(B2647,辅助信息!E:K,7,FALSE)</f>
        <v>JWDDCD2025072900123</v>
      </c>
      <c r="E2647" s="40" t="str">
        <f>VLOOKUP(F2647,辅助信息!A:B,2,FALSE)</f>
        <v>盘螺</v>
      </c>
      <c r="F2647" s="40" t="s">
        <v>40</v>
      </c>
      <c r="G2647" s="139">
        <v>22.5</v>
      </c>
      <c r="H2647" s="134">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09" t="str">
        <f>VLOOKUP(B2647,辅助信息!E:J,6,FALSE)</f>
        <v>联系实际收货人（彭江涛13990276572）现场要求炉批号控制2个以下，超2个不给予签收。提前联系到场规格及数量</v>
      </c>
      <c r="O2647" s="62" t="str">
        <f ca="1" t="shared" si="161"/>
        <v/>
      </c>
      <c r="P2647" s="62"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0">
        <v>45877</v>
      </c>
      <c r="D2648" s="40" t="str">
        <f>VLOOKUP(B2648,辅助信息!E:K,7,FALSE)</f>
        <v>JWDDCD2025072900123</v>
      </c>
      <c r="E2648" s="40" t="str">
        <f>VLOOKUP(F2648,辅助信息!A:B,2,FALSE)</f>
        <v>盘螺</v>
      </c>
      <c r="F2648" s="40" t="s">
        <v>41</v>
      </c>
      <c r="G2648" s="139">
        <v>29</v>
      </c>
      <c r="H2648" s="134">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09" t="str">
        <f>VLOOKUP(B2648,辅助信息!E:J,6,FALSE)</f>
        <v>联系实际收货人（彭江涛13990276572）现场要求炉批号控制2个以下，超2个不给予签收。提前联系到场规格及数量</v>
      </c>
      <c r="O2648" s="62" t="str">
        <f ca="1" t="shared" si="161"/>
        <v/>
      </c>
      <c r="P2648" s="62"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0">
        <v>45877</v>
      </c>
      <c r="D2649" s="40" t="str">
        <f>VLOOKUP(B2649,辅助信息!E:K,7,FALSE)</f>
        <v>JWDDCD2025072900123</v>
      </c>
      <c r="E2649" s="40" t="str">
        <f>VLOOKUP(F2649,辅助信息!A:B,2,FALSE)</f>
        <v>盘螺</v>
      </c>
      <c r="F2649" s="40" t="s">
        <v>26</v>
      </c>
      <c r="G2649" s="139">
        <v>10.6</v>
      </c>
      <c r="H2649" s="134">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09" t="str">
        <f>VLOOKUP(B2649,辅助信息!E:J,6,FALSE)</f>
        <v>联系实际收货人（彭江涛13990276572）现场要求炉批号控制2个以下，超2个不给予签收。提前联系到场规格及数量</v>
      </c>
      <c r="O2649" s="62" t="str">
        <f ca="1" t="shared" si="161"/>
        <v/>
      </c>
      <c r="P2649" s="62"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0">
        <v>45877</v>
      </c>
      <c r="D2650" s="40" t="str">
        <f>VLOOKUP(B2650,辅助信息!E:K,7,FALSE)</f>
        <v>JWDDCD2025072900123</v>
      </c>
      <c r="E2650" s="40" t="str">
        <f>VLOOKUP(F2650,辅助信息!A:B,2,FALSE)</f>
        <v>螺纹钢</v>
      </c>
      <c r="F2650" s="40" t="s">
        <v>111</v>
      </c>
      <c r="G2650" s="139">
        <v>10</v>
      </c>
      <c r="H2650" s="134">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09" t="str">
        <f>VLOOKUP(B2650,辅助信息!E:J,6,FALSE)</f>
        <v>联系实际收货人（彭江涛13990276572）现场要求炉批号控制2个以下，超2个不给予签收。提前联系到场规格及数量</v>
      </c>
      <c r="O2650" s="62" t="str">
        <f ca="1" t="shared" si="161"/>
        <v/>
      </c>
      <c r="P2650" s="62"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0">
        <v>45877</v>
      </c>
      <c r="D2651" s="40" t="str">
        <f>VLOOKUP(B2651,辅助信息!E:K,7,FALSE)</f>
        <v>JWDDCD2025072900123</v>
      </c>
      <c r="E2651" s="40" t="str">
        <f>VLOOKUP(F2651,辅助信息!A:B,2,FALSE)</f>
        <v>螺纹钢</v>
      </c>
      <c r="F2651" s="40" t="s">
        <v>76</v>
      </c>
      <c r="G2651" s="139">
        <v>6.5</v>
      </c>
      <c r="H2651" s="134">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09" t="str">
        <f>VLOOKUP(B2651,辅助信息!E:J,6,FALSE)</f>
        <v>联系实际收货人（彭江涛13990276572）现场要求炉批号控制2个以下，超2个不给予签收。提前联系到场规格及数量</v>
      </c>
      <c r="O2651" s="62" t="str">
        <f ca="1" t="shared" si="161"/>
        <v/>
      </c>
      <c r="P2651" s="62"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0">
        <v>45877</v>
      </c>
      <c r="D2652" s="40" t="str">
        <f>VLOOKUP(B2652,辅助信息!E:K,7,FALSE)</f>
        <v>JWDDCD2025072900123</v>
      </c>
      <c r="E2652" s="40" t="str">
        <f>VLOOKUP(F2652,辅助信息!A:B,2,FALSE)</f>
        <v>螺纹钢</v>
      </c>
      <c r="F2652" s="40" t="s">
        <v>19</v>
      </c>
      <c r="G2652" s="139">
        <v>3</v>
      </c>
      <c r="H2652" s="134">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09" t="str">
        <f>VLOOKUP(B2652,辅助信息!E:J,6,FALSE)</f>
        <v>联系实际收货人（彭江涛13990276572）现场要求炉批号控制2个以下，超2个不给予签收。提前联系到场规格及数量</v>
      </c>
      <c r="O2652" s="62" t="str">
        <f ca="1" t="shared" si="161"/>
        <v/>
      </c>
      <c r="P2652" s="62"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0">
        <v>45877</v>
      </c>
      <c r="D2653" s="40" t="str">
        <f>VLOOKUP(B2653,辅助信息!E:K,7,FALSE)</f>
        <v>JWDDCD2025072900123</v>
      </c>
      <c r="E2653" s="40" t="str">
        <f>VLOOKUP(F2653,辅助信息!A:B,2,FALSE)</f>
        <v>螺纹钢</v>
      </c>
      <c r="F2653" s="40" t="s">
        <v>130</v>
      </c>
      <c r="G2653" s="139">
        <v>3</v>
      </c>
      <c r="H2653" s="134">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09" t="str">
        <f>VLOOKUP(B2653,辅助信息!E:J,6,FALSE)</f>
        <v>联系实际收货人（彭江涛13990276572）现场要求炉批号控制2个以下，超2个不给予签收。提前联系到场规格及数量</v>
      </c>
      <c r="O2653" s="62" t="str">
        <f ca="1" t="shared" ref="O2653:O2716" si="163">IF(OR(M2653="",N2653&lt;&gt;""),"",MAX(M2653-TODAY(),0))</f>
        <v/>
      </c>
      <c r="P2653" s="62"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0">
        <v>45877</v>
      </c>
      <c r="D2654" s="40" t="str">
        <f>VLOOKUP(B2654,辅助信息!E:K,7,FALSE)</f>
        <v>JWDDCD2025072900123</v>
      </c>
      <c r="E2654" s="40" t="str">
        <f>VLOOKUP(F2654,辅助信息!A:B,2,FALSE)</f>
        <v>螺纹钢</v>
      </c>
      <c r="F2654" s="40" t="s">
        <v>133</v>
      </c>
      <c r="G2654" s="139">
        <v>37</v>
      </c>
      <c r="H2654" s="134">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09" t="str">
        <f>VLOOKUP(B2654,辅助信息!E:J,6,FALSE)</f>
        <v>联系实际收货人（彭江涛13990276572）现场要求炉批号控制2个以下，超2个不给予签收。提前联系到场规格及数量</v>
      </c>
      <c r="O2654" s="62" t="str">
        <f ca="1" t="shared" si="163"/>
        <v/>
      </c>
      <c r="P2654" s="62"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0">
        <v>45877</v>
      </c>
      <c r="D2655" s="40" t="str">
        <f>VLOOKUP(B2655,辅助信息!E:K,7,FALSE)</f>
        <v>JWDDCD2025072900123</v>
      </c>
      <c r="E2655" s="40" t="str">
        <f>VLOOKUP(F2655,辅助信息!A:B,2,FALSE)</f>
        <v>螺纹钢</v>
      </c>
      <c r="F2655" s="40" t="s">
        <v>91</v>
      </c>
      <c r="G2655" s="139">
        <v>37</v>
      </c>
      <c r="H2655" s="134">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09" t="str">
        <f>VLOOKUP(B2655,辅助信息!E:J,6,FALSE)</f>
        <v>联系实际收货人（彭江涛13990276572）现场要求炉批号控制2个以下，超2个不给予签收。提前联系到场规格及数量</v>
      </c>
      <c r="O2655" s="62" t="str">
        <f ca="1" t="shared" si="163"/>
        <v/>
      </c>
      <c r="P2655" s="62"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0">
        <v>45877</v>
      </c>
      <c r="D2656" s="40" t="str">
        <f>VLOOKUP(B2656,辅助信息!E:K,7,FALSE)</f>
        <v>JWDDCD2025072900123</v>
      </c>
      <c r="E2656" s="40" t="str">
        <f>VLOOKUP(F2656,辅助信息!A:B,2,FALSE)</f>
        <v>螺纹钢</v>
      </c>
      <c r="F2656" s="40" t="s">
        <v>205</v>
      </c>
      <c r="G2656" s="139">
        <v>6.5</v>
      </c>
      <c r="H2656" s="134">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09" t="str">
        <f>VLOOKUP(B2656,辅助信息!E:J,6,FALSE)</f>
        <v>联系实际收货人（彭江涛13990276572）现场要求炉批号控制2个以下，超2个不给予签收。提前联系到场规格及数量</v>
      </c>
      <c r="O2656" s="62" t="str">
        <f ca="1" t="shared" si="163"/>
        <v/>
      </c>
      <c r="P2656" s="62"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0">
        <v>45877</v>
      </c>
      <c r="D2657" s="40" t="str">
        <f>VLOOKUP(B2657,辅助信息!E:K,7,FALSE)</f>
        <v>JWDDCD2025072900123</v>
      </c>
      <c r="E2657" s="40" t="str">
        <f>VLOOKUP(F2657,辅助信息!A:B,2,FALSE)</f>
        <v>螺纹钢</v>
      </c>
      <c r="F2657" s="40" t="s">
        <v>140</v>
      </c>
      <c r="G2657" s="139">
        <v>22.6</v>
      </c>
      <c r="H2657" s="134">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09" t="str">
        <f>VLOOKUP(B2657,辅助信息!E:J,6,FALSE)</f>
        <v>联系实际收货人（彭江涛13990276572）现场要求炉批号控制2个以下，超2个不给予签收。提前联系到场规格及数量</v>
      </c>
      <c r="O2657" s="62" t="str">
        <f ca="1" t="shared" si="163"/>
        <v/>
      </c>
      <c r="P2657" s="62"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0">
        <v>45877</v>
      </c>
      <c r="D2658" s="40" t="str">
        <f>VLOOKUP(B2658,辅助信息!E:K,7,FALSE)</f>
        <v>JWDDCD2025072900123</v>
      </c>
      <c r="E2658" s="40" t="str">
        <f>VLOOKUP(F2658,辅助信息!A:B,2,FALSE)</f>
        <v>螺纹钢</v>
      </c>
      <c r="F2658" s="40" t="s">
        <v>197</v>
      </c>
      <c r="G2658" s="139">
        <v>3</v>
      </c>
      <c r="H2658" s="134">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09" t="str">
        <f>VLOOKUP(B2658,辅助信息!E:J,6,FALSE)</f>
        <v>联系实际收货人（彭江涛13990276572）现场要求炉批号控制2个以下，超2个不给予签收。提前联系到场规格及数量</v>
      </c>
      <c r="O2658" s="62" t="str">
        <f ca="1" t="shared" si="163"/>
        <v/>
      </c>
      <c r="P2658" s="62"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0">
        <v>45877</v>
      </c>
      <c r="D2659" s="40" t="str">
        <f>VLOOKUP(B2659,辅助信息!E:K,7,FALSE)</f>
        <v>JWDDCD2025072900123</v>
      </c>
      <c r="E2659" s="40" t="str">
        <f>VLOOKUP(F2659,辅助信息!A:B,2,FALSE)</f>
        <v>螺纹钢</v>
      </c>
      <c r="F2659" s="40" t="s">
        <v>198</v>
      </c>
      <c r="G2659" s="139">
        <v>12.7</v>
      </c>
      <c r="H2659" s="134">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09" t="str">
        <f>VLOOKUP(B2659,辅助信息!E:J,6,FALSE)</f>
        <v>联系实际收货人（彭江涛13990276572）现场要求炉批号控制2个以下，超2个不给予签收。提前联系到场规格及数量</v>
      </c>
      <c r="O2659" s="62" t="str">
        <f ca="1" t="shared" si="163"/>
        <v/>
      </c>
      <c r="P2659" s="62"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0">
        <v>45877</v>
      </c>
      <c r="D2660" s="40" t="str">
        <f>VLOOKUP(B2660,辅助信息!E:K,7,FALSE)</f>
        <v>JWDDCD2025072900123</v>
      </c>
      <c r="E2660" s="40" t="str">
        <f>VLOOKUP(F2660,辅助信息!A:B,2,FALSE)</f>
        <v>螺纹钢</v>
      </c>
      <c r="F2660" s="40" t="s">
        <v>58</v>
      </c>
      <c r="G2660" s="139">
        <v>3</v>
      </c>
      <c r="H2660" s="134">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09" t="str">
        <f>VLOOKUP(B2660,辅助信息!E:J,6,FALSE)</f>
        <v>联系实际收货人（彭江涛13990276572）现场要求炉批号控制2个以下，超2个不给予签收。提前联系到场规格及数量</v>
      </c>
      <c r="O2660" s="62" t="str">
        <f ca="1" t="shared" si="163"/>
        <v/>
      </c>
      <c r="P2660" s="62"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0">
        <v>45877</v>
      </c>
      <c r="D2661" s="40" t="str">
        <f>VLOOKUP(B2661,辅助信息!E:K,7,FALSE)</f>
        <v>JWDDCD2025072900123</v>
      </c>
      <c r="E2661" s="40" t="str">
        <f>VLOOKUP(F2661,辅助信息!A:B,2,FALSE)</f>
        <v>螺纹钢</v>
      </c>
      <c r="F2661" s="40" t="s">
        <v>199</v>
      </c>
      <c r="G2661" s="139">
        <v>26.6</v>
      </c>
      <c r="H2661" s="134">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09" t="str">
        <f>VLOOKUP(B2661,辅助信息!E:J,6,FALSE)</f>
        <v>联系实际收货人（彭江涛13990276572）现场要求炉批号控制2个以下，超2个不给予签收。提前联系到场规格及数量</v>
      </c>
      <c r="O2661" s="62" t="str">
        <f ca="1" t="shared" si="163"/>
        <v/>
      </c>
      <c r="P2661" s="62"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0">
        <v>45877</v>
      </c>
      <c r="D2662" s="40" t="str">
        <f>VLOOKUP(B2662,辅助信息!E:K,7,FALSE)</f>
        <v>JWDDCD2025072900123</v>
      </c>
      <c r="E2662" s="40" t="str">
        <f>VLOOKUP(F2662,辅助信息!A:B,2,FALSE)</f>
        <v>螺纹钢</v>
      </c>
      <c r="F2662" s="40" t="s">
        <v>46</v>
      </c>
      <c r="G2662" s="139">
        <v>3</v>
      </c>
      <c r="H2662" s="134">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09" t="str">
        <f>VLOOKUP(B2662,辅助信息!E:J,6,FALSE)</f>
        <v>联系实际收货人（彭江涛13990276572）现场要求炉批号控制2个以下，超2个不给予签收。提前联系到场规格及数量</v>
      </c>
      <c r="O2662" s="62" t="str">
        <f ca="1" t="shared" si="163"/>
        <v/>
      </c>
      <c r="P2662" s="62"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0">
        <v>45877</v>
      </c>
      <c r="D2663" s="40" t="str">
        <f>VLOOKUP(B2663,辅助信息!E:K,7,FALSE)</f>
        <v>JWDDCD2025072900123</v>
      </c>
      <c r="E2663" s="40" t="str">
        <f>VLOOKUP(F2663,辅助信息!A:B,2,FALSE)</f>
        <v>螺纹钢</v>
      </c>
      <c r="F2663" s="40" t="s">
        <v>141</v>
      </c>
      <c r="G2663" s="139">
        <v>30</v>
      </c>
      <c r="H2663" s="134">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09" t="str">
        <f>VLOOKUP(B2663,辅助信息!E:J,6,FALSE)</f>
        <v>联系实际收货人（彭江涛13990276572）现场要求炉批号控制2个以下，超2个不给予签收。提前联系到场规格及数量</v>
      </c>
      <c r="O2663" s="62" t="str">
        <f ca="1" t="shared" si="163"/>
        <v/>
      </c>
      <c r="P2663" s="62"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0">
        <v>45877</v>
      </c>
      <c r="D2664" s="40" t="str">
        <f>VLOOKUP(B2664,辅助信息!E:K,7,FALSE)</f>
        <v>JWDDCD2025072900123</v>
      </c>
      <c r="E2664" s="40" t="str">
        <f>VLOOKUP(F2664,辅助信息!A:B,2,FALSE)</f>
        <v>螺纹钢</v>
      </c>
      <c r="F2664" s="40" t="s">
        <v>22</v>
      </c>
      <c r="G2664" s="139">
        <v>4</v>
      </c>
      <c r="H2664" s="134">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09" t="str">
        <f>VLOOKUP(B2664,辅助信息!E:J,6,FALSE)</f>
        <v>联系实际收货人（彭江涛13990276572）现场要求炉批号控制2个以下，超2个不给予签收。提前联系到场规格及数量</v>
      </c>
      <c r="O2664" s="62" t="str">
        <f ca="1" t="shared" si="163"/>
        <v/>
      </c>
      <c r="P2664" s="62"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0">
        <v>45877</v>
      </c>
      <c r="D2665" s="40" t="str">
        <f>VLOOKUP(B2665,辅助信息!E:K,7,FALSE)</f>
        <v>JWDDCD2025072900123</v>
      </c>
      <c r="E2665" s="40" t="str">
        <f>VLOOKUP(F2665,辅助信息!A:B,2,FALSE)</f>
        <v>螺纹钢</v>
      </c>
      <c r="F2665" s="40" t="s">
        <v>142</v>
      </c>
      <c r="G2665" s="139">
        <v>136</v>
      </c>
      <c r="H2665" s="134">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09" t="str">
        <f>VLOOKUP(B2665,辅助信息!E:J,6,FALSE)</f>
        <v>联系实际收货人（彭江涛13990276572）现场要求炉批号控制2个以下，超2个不给予签收。提前联系到场规格及数量</v>
      </c>
      <c r="O2665" s="62" t="str">
        <f ca="1" t="shared" si="163"/>
        <v/>
      </c>
      <c r="P2665" s="62"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0">
        <v>45877</v>
      </c>
      <c r="D2666" s="40" t="str">
        <f>VLOOKUP(B2666,辅助信息!E:K,7,FALSE)</f>
        <v>JWDDCD2025072900123</v>
      </c>
      <c r="E2666" s="40" t="str">
        <f>VLOOKUP(F2666,辅助信息!A:B,2,FALSE)</f>
        <v>螺纹钢</v>
      </c>
      <c r="F2666" s="40" t="s">
        <v>181</v>
      </c>
      <c r="G2666" s="139">
        <v>5</v>
      </c>
      <c r="H2666" s="134">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09" t="str">
        <f>VLOOKUP(B2666,辅助信息!E:J,6,FALSE)</f>
        <v>联系实际收货人（彭江涛13990276572）现场要求炉批号控制2个以下，超2个不给予签收。提前联系到场规格及数量</v>
      </c>
      <c r="O2666" s="62" t="str">
        <f ca="1" t="shared" si="163"/>
        <v/>
      </c>
      <c r="P2666" s="62"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0">
        <v>45877</v>
      </c>
      <c r="D2667" s="40" t="str">
        <f>VLOOKUP(B2667,辅助信息!E:K,7,FALSE)</f>
        <v>JWDDCD2025072900123</v>
      </c>
      <c r="E2667" s="40" t="str">
        <f>VLOOKUP(F2667,辅助信息!A:B,2,FALSE)</f>
        <v>螺纹钢</v>
      </c>
      <c r="F2667" s="40" t="s">
        <v>200</v>
      </c>
      <c r="G2667" s="139">
        <v>8</v>
      </c>
      <c r="H2667" s="134">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09" t="str">
        <f>VLOOKUP(B2667,辅助信息!E:J,6,FALSE)</f>
        <v>联系实际收货人（彭江涛13990276572）现场要求炉批号控制2个以下，超2个不给予签收。提前联系到场规格及数量</v>
      </c>
      <c r="O2667" s="62" t="str">
        <f ca="1" t="shared" si="163"/>
        <v/>
      </c>
      <c r="P2667" s="62"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0">
        <v>45877</v>
      </c>
      <c r="D2668" s="40" t="str">
        <f>VLOOKUP(B2668,辅助信息!E:K,7,FALSE)</f>
        <v>JWDDCD2025072900123</v>
      </c>
      <c r="E2668" s="40" t="str">
        <f>VLOOKUP(F2668,辅助信息!A:B,2,FALSE)</f>
        <v>螺纹钢</v>
      </c>
      <c r="F2668" s="40" t="s">
        <v>182</v>
      </c>
      <c r="G2668" s="139">
        <v>14</v>
      </c>
      <c r="H2668" s="134">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09" t="str">
        <f>VLOOKUP(B2668,辅助信息!E:J,6,FALSE)</f>
        <v>联系实际收货人（彭江涛13990276572）现场要求炉批号控制2个以下，超2个不给予签收。提前联系到场规格及数量</v>
      </c>
      <c r="O2668" s="62" t="str">
        <f ca="1" t="shared" si="163"/>
        <v/>
      </c>
      <c r="P2668" s="62"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0">
        <v>45877</v>
      </c>
      <c r="D2669" s="40" t="str">
        <f>VLOOKUP(B2669,辅助信息!E:K,7,FALSE)</f>
        <v>JWDDCD2025072900123</v>
      </c>
      <c r="E2669" s="40" t="str">
        <f>VLOOKUP(F2669,辅助信息!A:B,2,FALSE)</f>
        <v>螺纹钢</v>
      </c>
      <c r="F2669" s="40" t="s">
        <v>201</v>
      </c>
      <c r="G2669" s="139">
        <v>28</v>
      </c>
      <c r="H2669" s="134">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09" t="str">
        <f>VLOOKUP(B2669,辅助信息!E:J,6,FALSE)</f>
        <v>联系实际收货人（彭江涛13990276572）现场要求炉批号控制2个以下，超2个不给予签收。提前联系到场规格及数量</v>
      </c>
      <c r="O2669" s="62" t="str">
        <f ca="1" t="shared" si="163"/>
        <v/>
      </c>
      <c r="P2669" s="62"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0">
        <v>45878</v>
      </c>
      <c r="D2670" s="40" t="str">
        <f>VLOOKUP(B2670,辅助信息!E:K,7,FALSE)</f>
        <v>JWDDCD2025102100473</v>
      </c>
      <c r="E2670" s="40" t="str">
        <f>VLOOKUP(F2670,辅助信息!A:B,2,FALSE)</f>
        <v>盘螺</v>
      </c>
      <c r="F2670" s="40" t="s">
        <v>49</v>
      </c>
      <c r="G2670" s="36">
        <v>5</v>
      </c>
      <c r="H2670" s="134">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09"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1">
        <v>45879</v>
      </c>
      <c r="O2670" s="62">
        <f ca="1" t="shared" si="163"/>
        <v>0</v>
      </c>
      <c r="P2670" s="62">
        <f ca="1" t="shared" si="164"/>
        <v>81</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0">
        <v>45878</v>
      </c>
      <c r="D2671" s="40" t="str">
        <f>VLOOKUP(B2671,辅助信息!E:K,7,FALSE)</f>
        <v>JWDDCD2025102100473</v>
      </c>
      <c r="E2671" s="40" t="str">
        <f>VLOOKUP(F2671,辅助信息!A:B,2,FALSE)</f>
        <v>盘螺</v>
      </c>
      <c r="F2671" s="40" t="s">
        <v>40</v>
      </c>
      <c r="G2671" s="36">
        <v>10</v>
      </c>
      <c r="H2671" s="134">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09"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1">
        <v>45879</v>
      </c>
      <c r="O2671" s="62">
        <f ca="1" t="shared" si="163"/>
        <v>0</v>
      </c>
      <c r="P2671" s="62">
        <f ca="1" t="shared" si="164"/>
        <v>81</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0">
        <v>45878</v>
      </c>
      <c r="D2672" s="40" t="str">
        <f>VLOOKUP(B2672,辅助信息!E:K,7,FALSE)</f>
        <v>JWDDCD2025102100473</v>
      </c>
      <c r="E2672" s="40" t="str">
        <f>VLOOKUP(F2672,辅助信息!A:B,2,FALSE)</f>
        <v>盘螺</v>
      </c>
      <c r="F2672" s="40" t="s">
        <v>41</v>
      </c>
      <c r="G2672" s="36">
        <v>30</v>
      </c>
      <c r="H2672" s="134">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09"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1">
        <v>45879</v>
      </c>
      <c r="O2672" s="62">
        <f ca="1" t="shared" si="163"/>
        <v>0</v>
      </c>
      <c r="P2672" s="62">
        <f ca="1" t="shared" si="164"/>
        <v>81</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0">
        <v>45878</v>
      </c>
      <c r="D2673" s="40" t="str">
        <f>VLOOKUP(B2673,辅助信息!E:K,7,FALSE)</f>
        <v>JWDDCD2025102100473</v>
      </c>
      <c r="E2673" s="40" t="str">
        <f>VLOOKUP(F2673,辅助信息!A:B,2,FALSE)</f>
        <v>螺纹钢</v>
      </c>
      <c r="F2673" s="40" t="s">
        <v>27</v>
      </c>
      <c r="G2673" s="36">
        <v>50</v>
      </c>
      <c r="H2673" s="134">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09"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1">
        <v>45879</v>
      </c>
      <c r="O2673" s="62">
        <f ca="1" t="shared" si="163"/>
        <v>0</v>
      </c>
      <c r="P2673" s="62">
        <f ca="1" t="shared" si="164"/>
        <v>81</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0">
        <v>45878</v>
      </c>
      <c r="D2674" s="40" t="str">
        <f>VLOOKUP(B2674,辅助信息!E:K,7,FALSE)</f>
        <v>JWDDCD2025102100473</v>
      </c>
      <c r="E2674" s="40" t="str">
        <f>VLOOKUP(F2674,辅助信息!A:B,2,FALSE)</f>
        <v>螺纹钢</v>
      </c>
      <c r="F2674" s="40" t="s">
        <v>19</v>
      </c>
      <c r="G2674" s="36">
        <v>40</v>
      </c>
      <c r="H2674" s="134">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09"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1">
        <v>45879</v>
      </c>
      <c r="O2674" s="62">
        <f ca="1" t="shared" si="163"/>
        <v>0</v>
      </c>
      <c r="P2674" s="62">
        <f ca="1" t="shared" si="164"/>
        <v>81</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0">
        <v>45878</v>
      </c>
      <c r="D2675" s="40" t="str">
        <f>VLOOKUP(B2675,辅助信息!E:K,7,FALSE)</f>
        <v>JWDDCD2025102100473</v>
      </c>
      <c r="E2675" s="40" t="str">
        <f>VLOOKUP(F2675,辅助信息!A:B,2,FALSE)</f>
        <v>螺纹钢</v>
      </c>
      <c r="F2675" s="40" t="s">
        <v>32</v>
      </c>
      <c r="G2675" s="36">
        <v>23</v>
      </c>
      <c r="H2675" s="134">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09"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1">
        <v>45879</v>
      </c>
      <c r="O2675" s="62">
        <f ca="1" t="shared" si="163"/>
        <v>0</v>
      </c>
      <c r="P2675" s="62">
        <f ca="1" t="shared" si="164"/>
        <v>81</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0">
        <v>45878</v>
      </c>
      <c r="D2676" s="40" t="str">
        <f>VLOOKUP(B2676,辅助信息!E:K,7,FALSE)</f>
        <v>JWDDCD2025102100473</v>
      </c>
      <c r="E2676" s="40" t="str">
        <f>VLOOKUP(F2676,辅助信息!A:B,2,FALSE)</f>
        <v>螺纹钢</v>
      </c>
      <c r="F2676" s="40" t="s">
        <v>33</v>
      </c>
      <c r="G2676" s="36">
        <v>5</v>
      </c>
      <c r="H2676" s="134">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09"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1">
        <v>45879</v>
      </c>
      <c r="O2676" s="62">
        <f ca="1" t="shared" si="163"/>
        <v>0</v>
      </c>
      <c r="P2676" s="62">
        <f ca="1" t="shared" si="164"/>
        <v>81</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0">
        <v>45878</v>
      </c>
      <c r="D2677" s="40" t="str">
        <f>VLOOKUP(B2677,辅助信息!E:K,7,FALSE)</f>
        <v>JWDDCD2025102100473</v>
      </c>
      <c r="E2677" s="40" t="str">
        <f>VLOOKUP(F2677,辅助信息!A:B,2,FALSE)</f>
        <v>螺纹钢</v>
      </c>
      <c r="F2677" s="40" t="s">
        <v>28</v>
      </c>
      <c r="G2677" s="36">
        <v>7.5</v>
      </c>
      <c r="H2677" s="134">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09"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1">
        <v>45879</v>
      </c>
      <c r="O2677" s="62">
        <f ca="1" t="shared" si="163"/>
        <v>0</v>
      </c>
      <c r="P2677" s="62">
        <f ca="1" t="shared" si="164"/>
        <v>81</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0">
        <v>45878</v>
      </c>
      <c r="D2678" s="40" t="str">
        <f>VLOOKUP(B2678,辅助信息!E:K,7,FALSE)</f>
        <v>JWDDCD2025102100473</v>
      </c>
      <c r="E2678" s="40" t="str">
        <f>VLOOKUP(F2678,辅助信息!A:B,2,FALSE)</f>
        <v>螺纹钢</v>
      </c>
      <c r="F2678" s="40" t="s">
        <v>18</v>
      </c>
      <c r="G2678" s="36">
        <v>20</v>
      </c>
      <c r="H2678" s="134">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09"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1">
        <v>45879</v>
      </c>
      <c r="O2678" s="62">
        <f ca="1" t="shared" si="163"/>
        <v>0</v>
      </c>
      <c r="P2678" s="62">
        <f ca="1" t="shared" si="164"/>
        <v>81</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0">
        <v>45878</v>
      </c>
      <c r="D2679" s="40" t="str">
        <f>VLOOKUP(B2679,辅助信息!E:K,7,FALSE)</f>
        <v>JWDDCD2025102100473</v>
      </c>
      <c r="E2679" s="40" t="str">
        <f>VLOOKUP(F2679,辅助信息!A:B,2,FALSE)</f>
        <v>螺纹钢</v>
      </c>
      <c r="F2679" s="40" t="s">
        <v>66</v>
      </c>
      <c r="G2679" s="36">
        <v>5</v>
      </c>
      <c r="H2679" s="134">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09"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1">
        <v>45879</v>
      </c>
      <c r="O2679" s="62">
        <f ca="1" t="shared" si="163"/>
        <v>0</v>
      </c>
      <c r="P2679" s="62">
        <f ca="1" t="shared" si="164"/>
        <v>81</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0">
        <v>45878</v>
      </c>
      <c r="D2680" s="40" t="str">
        <f>VLOOKUP(B2680,辅助信息!E:K,7,FALSE)</f>
        <v>JWDDCD2025102100473</v>
      </c>
      <c r="E2680" s="40" t="str">
        <f>VLOOKUP(F2680,辅助信息!A:B,2,FALSE)</f>
        <v>螺纹钢</v>
      </c>
      <c r="F2680" s="40" t="s">
        <v>82</v>
      </c>
      <c r="G2680" s="36">
        <v>5</v>
      </c>
      <c r="H2680" s="134">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09"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1">
        <v>45879</v>
      </c>
      <c r="O2680" s="62">
        <f ca="1" t="shared" si="163"/>
        <v>0</v>
      </c>
      <c r="P2680" s="62">
        <f ca="1" t="shared" si="164"/>
        <v>81</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0">
        <v>45878</v>
      </c>
      <c r="D2681" s="40" t="str">
        <f>VLOOKUP(B2681,辅助信息!E:K,7,FALSE)</f>
        <v>JWDDCD2025102100473</v>
      </c>
      <c r="E2681" s="40" t="str">
        <f>VLOOKUP(F2681,辅助信息!A:B,2,FALSE)</f>
        <v>螺纹钢</v>
      </c>
      <c r="F2681" s="40" t="s">
        <v>58</v>
      </c>
      <c r="G2681" s="36">
        <v>5</v>
      </c>
      <c r="H2681" s="134">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09"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1">
        <v>45879</v>
      </c>
      <c r="O2681" s="62">
        <f ca="1" t="shared" si="163"/>
        <v>0</v>
      </c>
      <c r="P2681" s="62">
        <f ca="1" t="shared" si="164"/>
        <v>81</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0">
        <v>45878</v>
      </c>
      <c r="D2682" s="40" t="str">
        <f>VLOOKUP(B2682,辅助信息!E:K,7,FALSE)</f>
        <v>JWDDCD2025102100473</v>
      </c>
      <c r="E2682" s="40" t="str">
        <f>VLOOKUP(F2682,辅助信息!A:B,2,FALSE)</f>
        <v>螺纹钢</v>
      </c>
      <c r="F2682" s="40" t="s">
        <v>22</v>
      </c>
      <c r="G2682" s="36">
        <v>15</v>
      </c>
      <c r="H2682" s="134">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09"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1">
        <v>45879</v>
      </c>
      <c r="O2682" s="62">
        <f ca="1" t="shared" si="163"/>
        <v>0</v>
      </c>
      <c r="P2682" s="62">
        <f ca="1" t="shared" si="164"/>
        <v>81</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0">
        <v>45878</v>
      </c>
      <c r="D2683" s="40" t="str">
        <f>VLOOKUP(B2683,辅助信息!E:K,7,FALSE)</f>
        <v>JWDDCD2025102100473</v>
      </c>
      <c r="E2683" s="40" t="str">
        <f>VLOOKUP(F2683,辅助信息!A:B,2,FALSE)</f>
        <v>螺纹钢</v>
      </c>
      <c r="F2683" s="40" t="s">
        <v>181</v>
      </c>
      <c r="G2683" s="36">
        <v>15</v>
      </c>
      <c r="H2683" s="134">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09"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1">
        <v>45879</v>
      </c>
      <c r="O2683" s="62">
        <f ca="1" t="shared" si="163"/>
        <v>0</v>
      </c>
      <c r="P2683" s="62">
        <f ca="1" t="shared" si="164"/>
        <v>81</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0">
        <v>45878</v>
      </c>
      <c r="D2684" s="40" t="str">
        <f>VLOOKUP(B2684,辅助信息!E:K,7,FALSE)</f>
        <v>JWDDCD2025102100473</v>
      </c>
      <c r="E2684" s="40" t="str">
        <f>VLOOKUP(F2684,辅助信息!A:B,2,FALSE)</f>
        <v>螺纹钢</v>
      </c>
      <c r="F2684" s="40" t="s">
        <v>182</v>
      </c>
      <c r="G2684" s="36">
        <v>5</v>
      </c>
      <c r="H2684" s="134">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09"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1">
        <v>45879</v>
      </c>
      <c r="O2684" s="62">
        <f ca="1" t="shared" si="163"/>
        <v>0</v>
      </c>
      <c r="P2684" s="62">
        <f ca="1" t="shared" si="164"/>
        <v>81</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0">
        <v>45878</v>
      </c>
      <c r="D2685" s="40" t="str">
        <f>VLOOKUP(B2685,辅助信息!E:K,7,FALSE)</f>
        <v>JWDDCD2025060900080</v>
      </c>
      <c r="E2685" s="40" t="str">
        <f>VLOOKUP(F2685,辅助信息!A:B,2,FALSE)</f>
        <v>盘螺</v>
      </c>
      <c r="F2685" s="40" t="s">
        <v>49</v>
      </c>
      <c r="G2685" s="36">
        <v>5</v>
      </c>
      <c r="H2685" s="134">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09" t="str">
        <f>VLOOKUP(B2685,辅助信息!E:J,6,FALSE)</f>
        <v>现场禁止使用氢能源挂车！优先威钢发货,我方卸车,新老国标钢厂不加价可直发，因陕钢多次出现磅差，项目拒绝使用</v>
      </c>
      <c r="M2685" s="91">
        <v>45879</v>
      </c>
      <c r="O2685" s="62">
        <f ca="1" t="shared" si="163"/>
        <v>0</v>
      </c>
      <c r="P2685" s="62">
        <f ca="1" t="shared" si="164"/>
        <v>81</v>
      </c>
      <c r="Q2685" s="29" t="str">
        <f>VLOOKUP(B2685,辅助信息!E:M,9,FALSE)</f>
        <v>ZTWM-CDGS-XS-2024-0030-华西集采-简州大道</v>
      </c>
      <c r="R2685" s="29" t="str">
        <f>_xlfn._xlws.FILTER(辅助信息!D:D,辅助信息!E:E=B2685)</f>
        <v>华西简阳西城嘉苑</v>
      </c>
    </row>
    <row r="2686" hidden="1" spans="2:18">
      <c r="B2686" s="40" t="s">
        <v>81</v>
      </c>
      <c r="C2686" s="70">
        <v>45878</v>
      </c>
      <c r="D2686" s="40" t="str">
        <f>VLOOKUP(B2686,辅助信息!E:K,7,FALSE)</f>
        <v>JWDDCD2025060900080</v>
      </c>
      <c r="E2686" s="40" t="str">
        <f>VLOOKUP(F2686,辅助信息!A:B,2,FALSE)</f>
        <v>盘螺</v>
      </c>
      <c r="F2686" s="40" t="s">
        <v>40</v>
      </c>
      <c r="G2686" s="36">
        <v>35</v>
      </c>
      <c r="H2686" s="134">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09" t="str">
        <f>VLOOKUP(B2686,辅助信息!E:J,6,FALSE)</f>
        <v>现场禁止使用氢能源挂车！优先威钢发货,我方卸车,新老国标钢厂不加价可直发，因陕钢多次出现磅差，项目拒绝使用</v>
      </c>
      <c r="M2686" s="91">
        <v>45879</v>
      </c>
      <c r="O2686" s="62">
        <f ca="1" t="shared" si="163"/>
        <v>0</v>
      </c>
      <c r="P2686" s="62">
        <f ca="1" t="shared" si="164"/>
        <v>81</v>
      </c>
      <c r="Q2686" s="29" t="str">
        <f>VLOOKUP(B2686,辅助信息!E:M,9,FALSE)</f>
        <v>ZTWM-CDGS-XS-2024-0030-华西集采-简州大道</v>
      </c>
      <c r="R2686" s="29" t="str">
        <f>_xlfn._xlws.FILTER(辅助信息!D:D,辅助信息!E:E=B2686)</f>
        <v>华西简阳西城嘉苑</v>
      </c>
    </row>
    <row r="2687" hidden="1" spans="2:18">
      <c r="B2687" s="40" t="s">
        <v>81</v>
      </c>
      <c r="C2687" s="70">
        <v>45878</v>
      </c>
      <c r="D2687" s="40" t="str">
        <f>VLOOKUP(B2687,辅助信息!E:K,7,FALSE)</f>
        <v>JWDDCD2025060900080</v>
      </c>
      <c r="E2687" s="40" t="str">
        <f>VLOOKUP(F2687,辅助信息!A:B,2,FALSE)</f>
        <v>盘螺</v>
      </c>
      <c r="F2687" s="40" t="s">
        <v>41</v>
      </c>
      <c r="G2687" s="36">
        <v>17</v>
      </c>
      <c r="H2687" s="134">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09" t="str">
        <f>VLOOKUP(B2687,辅助信息!E:J,6,FALSE)</f>
        <v>现场禁止使用氢能源挂车！优先威钢发货,我方卸车,新老国标钢厂不加价可直发，因陕钢多次出现磅差，项目拒绝使用</v>
      </c>
      <c r="M2687" s="91">
        <v>45879</v>
      </c>
      <c r="O2687" s="62">
        <f ca="1" t="shared" si="163"/>
        <v>0</v>
      </c>
      <c r="P2687" s="62">
        <f ca="1" t="shared" si="164"/>
        <v>81</v>
      </c>
      <c r="Q2687" s="29" t="str">
        <f>VLOOKUP(B2687,辅助信息!E:M,9,FALSE)</f>
        <v>ZTWM-CDGS-XS-2024-0030-华西集采-简州大道</v>
      </c>
      <c r="R2687" s="29" t="str">
        <f>_xlfn._xlws.FILTER(辅助信息!D:D,辅助信息!E:E=B2687)</f>
        <v>华西简阳西城嘉苑</v>
      </c>
    </row>
    <row r="2688" hidden="1" spans="2:18">
      <c r="B2688" s="40" t="s">
        <v>81</v>
      </c>
      <c r="C2688" s="70">
        <v>45878</v>
      </c>
      <c r="D2688" s="40" t="str">
        <f>VLOOKUP(B2688,辅助信息!E:K,7,FALSE)</f>
        <v>JWDDCD2025060900080</v>
      </c>
      <c r="E2688" s="40" t="str">
        <f>VLOOKUP(F2688,辅助信息!A:B,2,FALSE)</f>
        <v>盘螺</v>
      </c>
      <c r="F2688" s="40" t="s">
        <v>26</v>
      </c>
      <c r="G2688" s="36">
        <v>12.5</v>
      </c>
      <c r="H2688" s="134">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09" t="str">
        <f>VLOOKUP(B2688,辅助信息!E:J,6,FALSE)</f>
        <v>现场禁止使用氢能源挂车！优先威钢发货,我方卸车,新老国标钢厂不加价可直发，因陕钢多次出现磅差，项目拒绝使用</v>
      </c>
      <c r="M2688" s="91">
        <v>45879</v>
      </c>
      <c r="O2688" s="62">
        <f ca="1" t="shared" si="163"/>
        <v>0</v>
      </c>
      <c r="P2688" s="62">
        <f ca="1" t="shared" si="164"/>
        <v>81</v>
      </c>
      <c r="Q2688" s="29" t="str">
        <f>VLOOKUP(B2688,辅助信息!E:M,9,FALSE)</f>
        <v>ZTWM-CDGS-XS-2024-0030-华西集采-简州大道</v>
      </c>
      <c r="R2688" s="29" t="str">
        <f>_xlfn._xlws.FILTER(辅助信息!D:D,辅助信息!E:E=B2688)</f>
        <v>华西简阳西城嘉苑</v>
      </c>
    </row>
    <row r="2689" hidden="1" spans="2:18">
      <c r="B2689" s="40" t="s">
        <v>81</v>
      </c>
      <c r="C2689" s="70">
        <v>45878</v>
      </c>
      <c r="D2689" s="40" t="str">
        <f>VLOOKUP(B2689,辅助信息!E:K,7,FALSE)</f>
        <v>JWDDCD2025060900080</v>
      </c>
      <c r="E2689" s="40" t="str">
        <f>VLOOKUP(F2689,辅助信息!A:B,2,FALSE)</f>
        <v>螺纹钢</v>
      </c>
      <c r="F2689" s="40" t="s">
        <v>19</v>
      </c>
      <c r="G2689" s="36">
        <v>7.5</v>
      </c>
      <c r="H2689" s="134">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09" t="str">
        <f>VLOOKUP(B2689,辅助信息!E:J,6,FALSE)</f>
        <v>现场禁止使用氢能源挂车！优先威钢发货,我方卸车,新老国标钢厂不加价可直发，因陕钢多次出现磅差，项目拒绝使用</v>
      </c>
      <c r="M2689" s="91">
        <v>45879</v>
      </c>
      <c r="O2689" s="62">
        <f ca="1" t="shared" si="163"/>
        <v>0</v>
      </c>
      <c r="P2689" s="62">
        <f ca="1" t="shared" si="164"/>
        <v>81</v>
      </c>
      <c r="Q2689" s="29" t="str">
        <f>VLOOKUP(B2689,辅助信息!E:M,9,FALSE)</f>
        <v>ZTWM-CDGS-XS-2024-0030-华西集采-简州大道</v>
      </c>
      <c r="R2689" s="29" t="str">
        <f>_xlfn._xlws.FILTER(辅助信息!D:D,辅助信息!E:E=B2689)</f>
        <v>华西简阳西城嘉苑</v>
      </c>
    </row>
    <row r="2690" hidden="1" spans="2:18">
      <c r="B2690" s="40" t="s">
        <v>81</v>
      </c>
      <c r="C2690" s="70">
        <v>45878</v>
      </c>
      <c r="D2690" s="40" t="str">
        <f>VLOOKUP(B2690,辅助信息!E:K,7,FALSE)</f>
        <v>JWDDCD2025060900080</v>
      </c>
      <c r="E2690" s="40" t="str">
        <f>VLOOKUP(F2690,辅助信息!A:B,2,FALSE)</f>
        <v>螺纹钢</v>
      </c>
      <c r="F2690" s="40" t="s">
        <v>32</v>
      </c>
      <c r="G2690" s="36">
        <v>11.5</v>
      </c>
      <c r="H2690" s="134">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09" t="str">
        <f>VLOOKUP(B2690,辅助信息!E:J,6,FALSE)</f>
        <v>现场禁止使用氢能源挂车！优先威钢发货,我方卸车,新老国标钢厂不加价可直发，因陕钢多次出现磅差，项目拒绝使用</v>
      </c>
      <c r="M2690" s="91">
        <v>45879</v>
      </c>
      <c r="O2690" s="62">
        <f ca="1" t="shared" si="163"/>
        <v>0</v>
      </c>
      <c r="P2690" s="62">
        <f ca="1" t="shared" si="164"/>
        <v>81</v>
      </c>
      <c r="Q2690" s="29" t="str">
        <f>VLOOKUP(B2690,辅助信息!E:M,9,FALSE)</f>
        <v>ZTWM-CDGS-XS-2024-0030-华西集采-简州大道</v>
      </c>
      <c r="R2690" s="29" t="str">
        <f>_xlfn._xlws.FILTER(辅助信息!D:D,辅助信息!E:E=B2690)</f>
        <v>华西简阳西城嘉苑</v>
      </c>
    </row>
    <row r="2691" hidden="1" spans="2:18">
      <c r="B2691" s="40" t="s">
        <v>81</v>
      </c>
      <c r="C2691" s="70">
        <v>45878</v>
      </c>
      <c r="D2691" s="40" t="str">
        <f>VLOOKUP(B2691,辅助信息!E:K,7,FALSE)</f>
        <v>JWDDCD2025060900080</v>
      </c>
      <c r="E2691" s="40" t="str">
        <f>VLOOKUP(F2691,辅助信息!A:B,2,FALSE)</f>
        <v>螺纹钢</v>
      </c>
      <c r="F2691" s="40" t="s">
        <v>30</v>
      </c>
      <c r="G2691" s="36">
        <v>9</v>
      </c>
      <c r="H2691" s="134">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09" t="str">
        <f>VLOOKUP(B2691,辅助信息!E:J,6,FALSE)</f>
        <v>现场禁止使用氢能源挂车！优先威钢发货,我方卸车,新老国标钢厂不加价可直发，因陕钢多次出现磅差，项目拒绝使用</v>
      </c>
      <c r="M2691" s="91">
        <v>45879</v>
      </c>
      <c r="O2691" s="62">
        <f ca="1" t="shared" si="163"/>
        <v>0</v>
      </c>
      <c r="P2691" s="62">
        <f ca="1" t="shared" si="164"/>
        <v>81</v>
      </c>
      <c r="Q2691" s="29" t="str">
        <f>VLOOKUP(B2691,辅助信息!E:M,9,FALSE)</f>
        <v>ZTWM-CDGS-XS-2024-0030-华西集采-简州大道</v>
      </c>
      <c r="R2691" s="29" t="str">
        <f>_xlfn._xlws.FILTER(辅助信息!D:D,辅助信息!E:E=B2691)</f>
        <v>华西简阳西城嘉苑</v>
      </c>
    </row>
    <row r="2692" hidden="1" spans="2:18">
      <c r="B2692" s="40" t="s">
        <v>81</v>
      </c>
      <c r="C2692" s="70">
        <v>45878</v>
      </c>
      <c r="D2692" s="40" t="str">
        <f>VLOOKUP(B2692,辅助信息!E:K,7,FALSE)</f>
        <v>JWDDCD2025060900080</v>
      </c>
      <c r="E2692" s="40" t="str">
        <f>VLOOKUP(F2692,辅助信息!A:B,2,FALSE)</f>
        <v>螺纹钢</v>
      </c>
      <c r="F2692" s="40" t="s">
        <v>33</v>
      </c>
      <c r="G2692" s="36">
        <v>7.5</v>
      </c>
      <c r="H2692" s="134">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09" t="str">
        <f>VLOOKUP(B2692,辅助信息!E:J,6,FALSE)</f>
        <v>现场禁止使用氢能源挂车！优先威钢发货,我方卸车,新老国标钢厂不加价可直发，因陕钢多次出现磅差，项目拒绝使用</v>
      </c>
      <c r="M2692" s="91">
        <v>45879</v>
      </c>
      <c r="O2692" s="62">
        <f ca="1" t="shared" si="163"/>
        <v>0</v>
      </c>
      <c r="P2692" s="62">
        <f ca="1" t="shared" si="164"/>
        <v>81</v>
      </c>
      <c r="Q2692" s="29" t="str">
        <f>VLOOKUP(B2692,辅助信息!E:M,9,FALSE)</f>
        <v>ZTWM-CDGS-XS-2024-0030-华西集采-简州大道</v>
      </c>
      <c r="R2692" s="29" t="str">
        <f>_xlfn._xlws.FILTER(辅助信息!D:D,辅助信息!E:E=B2692)</f>
        <v>华西简阳西城嘉苑</v>
      </c>
    </row>
    <row r="2693" hidden="1" spans="2:18">
      <c r="B2693" s="40" t="s">
        <v>194</v>
      </c>
      <c r="C2693" s="70">
        <v>45878</v>
      </c>
      <c r="D2693" s="40" t="str">
        <f>VLOOKUP(B2693,辅助信息!E:K,7,FALSE)</f>
        <v>JWDD2025071500089</v>
      </c>
      <c r="E2693" s="40" t="str">
        <f>VLOOKUP(F2693,辅助信息!A:B,2,FALSE)</f>
        <v>盘螺</v>
      </c>
      <c r="F2693" s="40" t="s">
        <v>40</v>
      </c>
      <c r="G2693" s="36">
        <v>10</v>
      </c>
      <c r="H2693" s="134"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09" t="str">
        <f>VLOOKUP(B2693,辅助信息!E:J,6,FALSE)</f>
        <v>现场要求调度统一联系指定收货人，不单独发司机位置。锈货不收，装货前联系收货人核实到场规格,没提前告知进场规格现场不给予接收</v>
      </c>
      <c r="M2693" s="91">
        <v>45879</v>
      </c>
      <c r="O2693" s="62">
        <f ca="1" t="shared" si="163"/>
        <v>0</v>
      </c>
      <c r="P2693" s="62">
        <f ca="1" t="shared" si="164"/>
        <v>81</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0">
        <v>45878</v>
      </c>
      <c r="D2694" s="40" t="str">
        <f>VLOOKUP(B2694,辅助信息!E:K,7,FALSE)</f>
        <v>JWDD2025071500089</v>
      </c>
      <c r="E2694" s="40" t="str">
        <f>VLOOKUP(F2694,辅助信息!A:B,2,FALSE)</f>
        <v>盘螺</v>
      </c>
      <c r="F2694" s="40" t="s">
        <v>41</v>
      </c>
      <c r="G2694" s="36">
        <v>30</v>
      </c>
      <c r="H2694" s="134"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09" t="str">
        <f>VLOOKUP(B2694,辅助信息!E:J,6,FALSE)</f>
        <v>现场要求调度统一联系指定收货人，不单独发司机位置。锈货不收，装货前联系收货人核实到场规格,没提前告知进场规格现场不给予接收</v>
      </c>
      <c r="M2694" s="91">
        <v>45879</v>
      </c>
      <c r="O2694" s="62">
        <f ca="1" t="shared" si="163"/>
        <v>0</v>
      </c>
      <c r="P2694" s="62">
        <f ca="1" t="shared" si="164"/>
        <v>81</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0">
        <v>45878</v>
      </c>
      <c r="D2695" s="40" t="str">
        <f>VLOOKUP(B2695,辅助信息!E:K,7,FALSE)</f>
        <v>JWDD2025071500089</v>
      </c>
      <c r="E2695" s="40" t="str">
        <f>VLOOKUP(F2695,辅助信息!A:B,2,FALSE)</f>
        <v>盘螺</v>
      </c>
      <c r="F2695" s="40" t="s">
        <v>26</v>
      </c>
      <c r="G2695" s="36">
        <v>30</v>
      </c>
      <c r="H2695" s="134"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09" t="str">
        <f>VLOOKUP(B2695,辅助信息!E:J,6,FALSE)</f>
        <v>现场要求调度统一联系指定收货人，不单独发司机位置。锈货不收，装货前联系收货人核实到场规格,没提前告知进场规格现场不给予接收</v>
      </c>
      <c r="M2695" s="91">
        <v>45879</v>
      </c>
      <c r="O2695" s="62">
        <f ca="1" t="shared" si="163"/>
        <v>0</v>
      </c>
      <c r="P2695" s="62">
        <f ca="1" t="shared" si="164"/>
        <v>81</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0">
        <v>45878</v>
      </c>
      <c r="D2696" s="40" t="str">
        <f>VLOOKUP(B2696,辅助信息!E:K,7,FALSE)</f>
        <v>JWDD2025071500089</v>
      </c>
      <c r="E2696" s="40" t="str">
        <f>VLOOKUP(F2696,辅助信息!A:B,2,FALSE)</f>
        <v>螺纹钢</v>
      </c>
      <c r="F2696" s="40" t="s">
        <v>27</v>
      </c>
      <c r="G2696" s="36">
        <v>30</v>
      </c>
      <c r="H2696" s="134">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09" t="str">
        <f>VLOOKUP(B2696,辅助信息!E:J,6,FALSE)</f>
        <v>现场要求调度统一联系指定收货人，不单独发司机位置。锈货不收，装货前联系收货人核实到场规格,没提前告知进场规格现场不给予接收</v>
      </c>
      <c r="M2696" s="91">
        <v>45879</v>
      </c>
      <c r="O2696" s="62">
        <f ca="1" t="shared" si="163"/>
        <v>0</v>
      </c>
      <c r="P2696" s="62">
        <f ca="1" t="shared" si="164"/>
        <v>81</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0">
        <v>45878</v>
      </c>
      <c r="D2697" s="40" t="str">
        <f>VLOOKUP(B2697,辅助信息!E:K,7,FALSE)</f>
        <v>JWDD2025071500089</v>
      </c>
      <c r="E2697" s="40" t="str">
        <f>VLOOKUP(F2697,辅助信息!A:B,2,FALSE)</f>
        <v>螺纹钢</v>
      </c>
      <c r="F2697" s="40" t="s">
        <v>30</v>
      </c>
      <c r="G2697" s="36">
        <v>30</v>
      </c>
      <c r="H2697" s="134">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09" t="str">
        <f>VLOOKUP(B2697,辅助信息!E:J,6,FALSE)</f>
        <v>现场要求调度统一联系指定收货人，不单独发司机位置。锈货不收，装货前联系收货人核实到场规格,没提前告知进场规格现场不给予接收</v>
      </c>
      <c r="M2697" s="91">
        <v>45879</v>
      </c>
      <c r="O2697" s="62">
        <f ca="1" t="shared" si="163"/>
        <v>0</v>
      </c>
      <c r="P2697" s="62">
        <f ca="1" t="shared" si="164"/>
        <v>81</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0">
        <v>45878</v>
      </c>
      <c r="D2698" s="40" t="str">
        <f>VLOOKUP(B2698,辅助信息!E:K,7,FALSE)</f>
        <v>JWDD2025071500089</v>
      </c>
      <c r="E2698" s="40" t="str">
        <f>VLOOKUP(F2698,辅助信息!A:B,2,FALSE)</f>
        <v>螺纹钢</v>
      </c>
      <c r="F2698" s="40" t="s">
        <v>33</v>
      </c>
      <c r="G2698" s="36">
        <v>30</v>
      </c>
      <c r="H2698" s="134">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09" t="str">
        <f>VLOOKUP(B2698,辅助信息!E:J,6,FALSE)</f>
        <v>现场要求调度统一联系指定收货人，不单独发司机位置。锈货不收，装货前联系收货人核实到场规格,没提前告知进场规格现场不给予接收</v>
      </c>
      <c r="M2698" s="91">
        <v>45879</v>
      </c>
      <c r="O2698" s="62">
        <f ca="1" t="shared" si="163"/>
        <v>0</v>
      </c>
      <c r="P2698" s="62">
        <f ca="1" t="shared" si="164"/>
        <v>81</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0">
        <v>45878</v>
      </c>
      <c r="D2699" s="40" t="str">
        <f>VLOOKUP(B2699,辅助信息!E:K,7,FALSE)</f>
        <v>JWDD2025071500089</v>
      </c>
      <c r="E2699" s="40" t="str">
        <f>VLOOKUP(F2699,辅助信息!A:B,2,FALSE)</f>
        <v>螺纹钢</v>
      </c>
      <c r="F2699" s="40" t="s">
        <v>18</v>
      </c>
      <c r="G2699" s="36">
        <v>30</v>
      </c>
      <c r="H2699" s="134">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09" t="str">
        <f>VLOOKUP(B2699,辅助信息!E:J,6,FALSE)</f>
        <v>现场要求调度统一联系指定收货人，不单独发司机位置。锈货不收，装货前联系收货人核实到场规格,没提前告知进场规格现场不给予接收</v>
      </c>
      <c r="M2699" s="91">
        <v>45879</v>
      </c>
      <c r="O2699" s="62">
        <f ca="1" t="shared" si="163"/>
        <v>0</v>
      </c>
      <c r="P2699" s="62">
        <f ca="1" t="shared" si="164"/>
        <v>81</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0">
        <v>45878</v>
      </c>
      <c r="D2700" s="40" t="str">
        <f>VLOOKUP(B2700,辅助信息!E:K,7,FALSE)</f>
        <v>JWDD2025071500089</v>
      </c>
      <c r="E2700" s="40" t="str">
        <f>VLOOKUP(F2700,辅助信息!A:B,2,FALSE)</f>
        <v>螺纹钢</v>
      </c>
      <c r="F2700" s="40" t="s">
        <v>66</v>
      </c>
      <c r="G2700" s="36">
        <v>2.7</v>
      </c>
      <c r="H2700" s="134">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09" t="str">
        <f>VLOOKUP(B2700,辅助信息!E:J,6,FALSE)</f>
        <v>现场要求调度统一联系指定收货人，不单独发司机位置。锈货不收，装货前联系收货人核实到场规格,没提前告知进场规格现场不给予接收</v>
      </c>
      <c r="M2700" s="91">
        <v>45879</v>
      </c>
      <c r="O2700" s="62">
        <f ca="1" t="shared" si="163"/>
        <v>0</v>
      </c>
      <c r="P2700" s="62">
        <f ca="1" t="shared" si="164"/>
        <v>81</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0">
        <v>45878</v>
      </c>
      <c r="D2701" s="40" t="str">
        <f>VLOOKUP(B2701,辅助信息!E:K,7,FALSE)</f>
        <v>JWDD2025071500089</v>
      </c>
      <c r="E2701" s="40" t="str">
        <f>VLOOKUP(F2701,辅助信息!A:B,2,FALSE)</f>
        <v>螺纹钢</v>
      </c>
      <c r="F2701" s="40" t="s">
        <v>45</v>
      </c>
      <c r="G2701" s="36">
        <v>2.7</v>
      </c>
      <c r="H2701" s="134">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09" t="str">
        <f>VLOOKUP(B2701,辅助信息!E:J,6,FALSE)</f>
        <v>现场要求调度统一联系指定收货人，不单独发司机位置。锈货不收，装货前联系收货人核实到场规格,没提前告知进场规格现场不给予接收</v>
      </c>
      <c r="M2701" s="91">
        <v>45879</v>
      </c>
      <c r="O2701" s="62">
        <f ca="1" t="shared" si="163"/>
        <v>0</v>
      </c>
      <c r="P2701" s="62">
        <f ca="1" t="shared" si="164"/>
        <v>81</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0">
        <v>45878</v>
      </c>
      <c r="D2702" s="40" t="str">
        <f>VLOOKUP(B2702,辅助信息!E:K,7,FALSE)</f>
        <v>JWDD2025071500089</v>
      </c>
      <c r="E2702" s="40" t="str">
        <f>VLOOKUP(F2702,辅助信息!A:B,2,FALSE)</f>
        <v>螺纹钢</v>
      </c>
      <c r="F2702" s="40" t="s">
        <v>21</v>
      </c>
      <c r="G2702" s="36">
        <v>2.7</v>
      </c>
      <c r="H2702" s="134">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09" t="str">
        <f>VLOOKUP(B2702,辅助信息!E:J,6,FALSE)</f>
        <v>现场要求调度统一联系指定收货人，不单独发司机位置。锈货不收，装货前联系收货人核实到场规格,没提前告知进场规格现场不给予接收</v>
      </c>
      <c r="M2702" s="91">
        <v>45879</v>
      </c>
      <c r="O2702" s="62">
        <f ca="1" t="shared" si="163"/>
        <v>0</v>
      </c>
      <c r="P2702" s="62">
        <f ca="1" t="shared" si="164"/>
        <v>81</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0">
        <v>45878</v>
      </c>
      <c r="D2703" s="40" t="str">
        <f>VLOOKUP(B2703,辅助信息!E:K,7,FALSE)</f>
        <v>JWDD2025071500089</v>
      </c>
      <c r="E2703" s="40" t="str">
        <f>VLOOKUP(F2703,辅助信息!A:B,2,FALSE)</f>
        <v>螺纹钢</v>
      </c>
      <c r="F2703" s="40" t="s">
        <v>58</v>
      </c>
      <c r="G2703" s="36">
        <v>2.7</v>
      </c>
      <c r="H2703" s="134">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09" t="str">
        <f>VLOOKUP(B2703,辅助信息!E:J,6,FALSE)</f>
        <v>现场要求调度统一联系指定收货人，不单独发司机位置。锈货不收，装货前联系收货人核实到场规格,没提前告知进场规格现场不给予接收</v>
      </c>
      <c r="M2703" s="91">
        <v>45879</v>
      </c>
      <c r="O2703" s="62">
        <f ca="1" t="shared" si="163"/>
        <v>0</v>
      </c>
      <c r="P2703" s="62">
        <f ca="1" t="shared" si="164"/>
        <v>81</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0">
        <v>45878</v>
      </c>
      <c r="D2704" s="40" t="str">
        <f>VLOOKUP(B2704,辅助信息!E:K,7,FALSE)</f>
        <v>JWDD2025071500089</v>
      </c>
      <c r="E2704" s="40" t="str">
        <f>VLOOKUP(F2704,辅助信息!A:B,2,FALSE)</f>
        <v>螺纹钢</v>
      </c>
      <c r="F2704" s="40" t="s">
        <v>46</v>
      </c>
      <c r="G2704" s="36">
        <v>2.7</v>
      </c>
      <c r="H2704" s="134">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09" t="str">
        <f>VLOOKUP(B2704,辅助信息!E:J,6,FALSE)</f>
        <v>现场要求调度统一联系指定收货人，不单独发司机位置。锈货不收，装货前联系收货人核实到场规格,没提前告知进场规格现场不给予接收</v>
      </c>
      <c r="M2704" s="91">
        <v>45879</v>
      </c>
      <c r="O2704" s="62">
        <f ca="1" t="shared" si="163"/>
        <v>0</v>
      </c>
      <c r="P2704" s="62">
        <f ca="1" t="shared" si="164"/>
        <v>81</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0">
        <v>45878</v>
      </c>
      <c r="D2705" s="40" t="str">
        <f>VLOOKUP(B2705,辅助信息!E:K,7,FALSE)</f>
        <v>JWDD2025071500089</v>
      </c>
      <c r="E2705" s="40" t="str">
        <f>VLOOKUP(F2705,辅助信息!A:B,2,FALSE)</f>
        <v>螺纹钢</v>
      </c>
      <c r="F2705" s="40" t="s">
        <v>22</v>
      </c>
      <c r="G2705" s="36">
        <v>50</v>
      </c>
      <c r="H2705" s="134">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09" t="str">
        <f>VLOOKUP(B2705,辅助信息!E:J,6,FALSE)</f>
        <v>现场要求调度统一联系指定收货人，不单独发司机位置。锈货不收，装货前联系收货人核实到场规格,没提前告知进场规格现场不给予接收</v>
      </c>
      <c r="M2705" s="91">
        <v>45879</v>
      </c>
      <c r="O2705" s="62">
        <f ca="1" t="shared" si="163"/>
        <v>0</v>
      </c>
      <c r="P2705" s="62">
        <f ca="1" t="shared" si="164"/>
        <v>81</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0">
        <v>45880</v>
      </c>
      <c r="D2706" s="40" t="str">
        <f>VLOOKUP(B2706,辅助信息!E:K,7,FALSE)</f>
        <v>JWDDCD2024101600133</v>
      </c>
      <c r="E2706" s="40" t="str">
        <f>VLOOKUP(F2706,辅助信息!A:B,2,FALSE)</f>
        <v>盘螺</v>
      </c>
      <c r="F2706" s="40" t="s">
        <v>49</v>
      </c>
      <c r="G2706" s="36">
        <v>10</v>
      </c>
      <c r="H2706" s="134">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09" t="str">
        <f>VLOOKUP(B2706,辅助信息!E:J,6,FALSE)</f>
        <v>提前联系到场规格</v>
      </c>
      <c r="O2706" s="62" t="str">
        <f ca="1" t="shared" si="163"/>
        <v/>
      </c>
      <c r="P2706" s="62"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0">
        <v>45880</v>
      </c>
      <c r="D2707" s="40" t="str">
        <f>VLOOKUP(B2707,辅助信息!E:K,7,FALSE)</f>
        <v>JWDDCD2024101600133</v>
      </c>
      <c r="E2707" s="40" t="str">
        <f>VLOOKUP(F2707,辅助信息!A:B,2,FALSE)</f>
        <v>螺纹钢</v>
      </c>
      <c r="F2707" s="40" t="s">
        <v>30</v>
      </c>
      <c r="G2707" s="36">
        <v>6</v>
      </c>
      <c r="H2707" s="134">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09" t="str">
        <f>VLOOKUP(B2707,辅助信息!E:J,6,FALSE)</f>
        <v>提前联系到场规格</v>
      </c>
      <c r="O2707" s="62" t="str">
        <f ca="1" t="shared" si="163"/>
        <v/>
      </c>
      <c r="P2707" s="62"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0">
        <v>45880</v>
      </c>
      <c r="D2708" s="40" t="str">
        <f>VLOOKUP(B2708,辅助信息!E:K,7,FALSE)</f>
        <v>JWDDCD2024101600133</v>
      </c>
      <c r="E2708" s="40" t="str">
        <f>VLOOKUP(F2708,辅助信息!A:B,2,FALSE)</f>
        <v>螺纹钢</v>
      </c>
      <c r="F2708" s="40" t="s">
        <v>33</v>
      </c>
      <c r="G2708" s="36">
        <v>9</v>
      </c>
      <c r="H2708" s="134">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09" t="str">
        <f>VLOOKUP(B2708,辅助信息!E:J,6,FALSE)</f>
        <v>提前联系到场规格</v>
      </c>
      <c r="O2708" s="62" t="str">
        <f ca="1" t="shared" si="163"/>
        <v/>
      </c>
      <c r="P2708" s="62"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0">
        <v>45880</v>
      </c>
      <c r="D2709" s="40" t="str">
        <f>VLOOKUP(B2709,辅助信息!E:K,7,FALSE)</f>
        <v>JWDDCD2024101600133</v>
      </c>
      <c r="E2709" s="40" t="str">
        <f>VLOOKUP(F2709,辅助信息!A:B,2,FALSE)</f>
        <v>螺纹钢</v>
      </c>
      <c r="F2709" s="40" t="s">
        <v>28</v>
      </c>
      <c r="G2709" s="36">
        <v>9</v>
      </c>
      <c r="H2709" s="134">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09" t="str">
        <f>VLOOKUP(B2709,辅助信息!E:J,6,FALSE)</f>
        <v>提前联系到场规格</v>
      </c>
      <c r="O2709" s="62" t="str">
        <f ca="1" t="shared" si="163"/>
        <v/>
      </c>
      <c r="P2709" s="62"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0">
        <v>45880</v>
      </c>
      <c r="D2710" s="40" t="str">
        <f>VLOOKUP(B2710,辅助信息!E:K,7,FALSE)</f>
        <v>JWDDCD2025052800131</v>
      </c>
      <c r="E2710" s="40" t="str">
        <f>VLOOKUP(F2710,辅助信息!A:B,2,FALSE)</f>
        <v>螺纹钢</v>
      </c>
      <c r="F2710" s="40" t="s">
        <v>65</v>
      </c>
      <c r="G2710" s="36">
        <v>60</v>
      </c>
      <c r="H2710" s="134">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09" t="str">
        <f>VLOOKUP(B2710,辅助信息!E:J,6,FALSE)</f>
        <v>控制炉批号！多了现场不收！,优先安排达钢,提前联系到场规格及数量</v>
      </c>
      <c r="O2710" s="62" t="str">
        <f ca="1" t="shared" si="163"/>
        <v/>
      </c>
      <c r="P2710" s="62"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0">
        <v>45880</v>
      </c>
      <c r="D2711" s="40" t="str">
        <f>VLOOKUP(B2711,辅助信息!E:K,7,FALSE)</f>
        <v>JWDDCD2025052800131</v>
      </c>
      <c r="E2711" s="40" t="str">
        <f>VLOOKUP(F2711,辅助信息!A:B,2,FALSE)</f>
        <v>螺纹钢</v>
      </c>
      <c r="F2711" s="40" t="s">
        <v>27</v>
      </c>
      <c r="G2711" s="36">
        <v>9</v>
      </c>
      <c r="H2711" s="134">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09" t="str">
        <f>VLOOKUP(B2711,辅助信息!E:J,6,FALSE)</f>
        <v>控制炉批号！多了现场不收！,优先安排达钢,提前联系到场规格及数量</v>
      </c>
      <c r="O2711" s="62" t="str">
        <f ca="1" t="shared" si="163"/>
        <v/>
      </c>
      <c r="P2711" s="62"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0">
        <v>45880</v>
      </c>
      <c r="D2712" s="40" t="str">
        <f>VLOOKUP(B2712,辅助信息!E:K,7,FALSE)</f>
        <v>JWDDCD2025052800131</v>
      </c>
      <c r="E2712" s="40" t="str">
        <f>VLOOKUP(F2712,辅助信息!A:B,2,FALSE)</f>
        <v>螺纹钢</v>
      </c>
      <c r="F2712" s="40" t="s">
        <v>45</v>
      </c>
      <c r="G2712" s="36">
        <v>3</v>
      </c>
      <c r="H2712" s="134">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09" t="str">
        <f>VLOOKUP(B2712,辅助信息!E:J,6,FALSE)</f>
        <v>控制炉批号！多了现场不收！,优先安排达钢,提前联系到场规格及数量</v>
      </c>
      <c r="O2712" s="62" t="str">
        <f ca="1" t="shared" si="163"/>
        <v/>
      </c>
      <c r="P2712" s="62"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0">
        <v>45880</v>
      </c>
      <c r="D2713" s="40" t="str">
        <f>VLOOKUP(B2713,辅助信息!E:K,7,FALSE)</f>
        <v>JWDDCD2025052800131</v>
      </c>
      <c r="E2713" s="40" t="str">
        <f>VLOOKUP(F2713,辅助信息!A:B,2,FALSE)</f>
        <v>螺纹钢</v>
      </c>
      <c r="F2713" s="40" t="s">
        <v>21</v>
      </c>
      <c r="G2713" s="36">
        <v>6</v>
      </c>
      <c r="H2713" s="134">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09" t="str">
        <f>VLOOKUP(B2713,辅助信息!E:J,6,FALSE)</f>
        <v>控制炉批号！多了现场不收！,优先安排达钢,提前联系到场规格及数量</v>
      </c>
      <c r="O2713" s="62" t="str">
        <f ca="1" t="shared" si="163"/>
        <v/>
      </c>
      <c r="P2713" s="62"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0">
        <v>45880</v>
      </c>
      <c r="D2714" s="40" t="str">
        <f>VLOOKUP(B2714,辅助信息!E:K,7,FALSE)</f>
        <v>JWDDCD2025052800131</v>
      </c>
      <c r="E2714" s="40" t="str">
        <f>VLOOKUP(F2714,辅助信息!A:B,2,FALSE)</f>
        <v>螺纹钢</v>
      </c>
      <c r="F2714" s="40" t="s">
        <v>58</v>
      </c>
      <c r="G2714" s="36">
        <v>6</v>
      </c>
      <c r="H2714" s="134">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09" t="str">
        <f>VLOOKUP(B2714,辅助信息!E:J,6,FALSE)</f>
        <v>控制炉批号！多了现场不收！,优先安排达钢,提前联系到场规格及数量</v>
      </c>
      <c r="O2714" s="62" t="str">
        <f ca="1" t="shared" si="163"/>
        <v/>
      </c>
      <c r="P2714" s="62"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0">
        <v>45880</v>
      </c>
      <c r="D2715" s="40" t="str">
        <f>VLOOKUP(B2715,辅助信息!E:K,7,FALSE)</f>
        <v>JWDDCD2025052800131</v>
      </c>
      <c r="E2715" s="40" t="str">
        <f>VLOOKUP(F2715,辅助信息!A:B,2,FALSE)</f>
        <v>螺纹钢</v>
      </c>
      <c r="F2715" s="40" t="s">
        <v>46</v>
      </c>
      <c r="G2715" s="36">
        <v>3</v>
      </c>
      <c r="H2715" s="134">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09" t="str">
        <f>VLOOKUP(B2715,辅助信息!E:J,6,FALSE)</f>
        <v>控制炉批号！多了现场不收！,优先安排达钢,提前联系到场规格及数量</v>
      </c>
      <c r="O2715" s="62" t="str">
        <f ca="1" t="shared" si="163"/>
        <v/>
      </c>
      <c r="P2715" s="62"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0">
        <v>45880</v>
      </c>
      <c r="D2716" s="40" t="str">
        <f>VLOOKUP(B2716,辅助信息!E:K,7,FALSE)</f>
        <v>JWDDCD2025052800131</v>
      </c>
      <c r="E2716" s="40" t="str">
        <f>VLOOKUP(F2716,辅助信息!A:B,2,FALSE)</f>
        <v>螺纹钢</v>
      </c>
      <c r="F2716" s="40" t="s">
        <v>22</v>
      </c>
      <c r="G2716" s="36">
        <v>21</v>
      </c>
      <c r="H2716" s="134">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09" t="str">
        <f>VLOOKUP(B2716,辅助信息!E:J,6,FALSE)</f>
        <v>控制炉批号！多了现场不收！,优先安排达钢,提前联系到场规格及数量</v>
      </c>
      <c r="O2716" s="62" t="str">
        <f ca="1" t="shared" si="163"/>
        <v/>
      </c>
      <c r="P2716" s="62"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0">
        <v>45880</v>
      </c>
      <c r="D2717" s="40" t="str">
        <f>VLOOKUP(B2717,辅助信息!E:K,7,FALSE)</f>
        <v>JWDDCD2025072900123</v>
      </c>
      <c r="E2717" s="40" t="str">
        <f>VLOOKUP(F2717,辅助信息!A:B,2,FALSE)</f>
        <v>螺纹钢</v>
      </c>
      <c r="F2717" s="40" t="s">
        <v>91</v>
      </c>
      <c r="G2717" s="36">
        <v>40</v>
      </c>
      <c r="H2717" s="134">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09" t="str">
        <f>VLOOKUP(B2717,辅助信息!E:J,6,FALSE)</f>
        <v>联系实际收货人（彭江涛13990276572）现场要求炉批号控制2个以下，超2个不给予签收。提前联系到场规格及数量</v>
      </c>
      <c r="O2717" s="62" t="str">
        <f ca="1" t="shared" ref="O2717:O2780" si="165">IF(OR(M2717="",N2717&lt;&gt;""),"",MAX(M2717-TODAY(),0))</f>
        <v/>
      </c>
      <c r="P2717" s="62"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0">
        <v>45881</v>
      </c>
      <c r="D2718" s="40" t="str">
        <f>VLOOKUP(B2718,辅助信息!E:K,7,FALSE)</f>
        <v>JWDDCD2025052800131</v>
      </c>
      <c r="E2718" s="40" t="str">
        <f>VLOOKUP(F2718,辅助信息!A:B,2,FALSE)</f>
        <v>盘螺</v>
      </c>
      <c r="F2718" s="40" t="s">
        <v>49</v>
      </c>
      <c r="G2718" s="36">
        <v>3</v>
      </c>
      <c r="H2718" s="134">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09" t="str">
        <f>VLOOKUP(B2718,辅助信息!E:J,6,FALSE)</f>
        <v>控制炉批号！多了现场不收！,优先安排达钢,提前联系到场规格及数量</v>
      </c>
      <c r="O2718" s="62" t="str">
        <f ca="1" t="shared" si="165"/>
        <v/>
      </c>
      <c r="P2718" s="62"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0">
        <v>45881</v>
      </c>
      <c r="D2719" s="40" t="str">
        <f>VLOOKUP(B2719,辅助信息!E:K,7,FALSE)</f>
        <v>JWDDCD2025052800131</v>
      </c>
      <c r="E2719" s="40" t="str">
        <f>VLOOKUP(F2719,辅助信息!A:B,2,FALSE)</f>
        <v>盘螺</v>
      </c>
      <c r="F2719" s="40" t="s">
        <v>40</v>
      </c>
      <c r="G2719" s="36">
        <v>36</v>
      </c>
      <c r="H2719" s="134">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09" t="str">
        <f>VLOOKUP(B2719,辅助信息!E:J,6,FALSE)</f>
        <v>控制炉批号！多了现场不收！,优先安排达钢,提前联系到场规格及数量</v>
      </c>
      <c r="O2719" s="62" t="str">
        <f ca="1" t="shared" si="165"/>
        <v/>
      </c>
      <c r="P2719" s="62"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0">
        <v>45882</v>
      </c>
      <c r="D2720" s="40" t="str">
        <f>VLOOKUP(B2720,辅助信息!E:K,7,FALSE)</f>
        <v>JWDDCD2025052800131</v>
      </c>
      <c r="E2720" s="40" t="str">
        <f>VLOOKUP(F2720,辅助信息!A:B,2,FALSE)</f>
        <v>盘螺</v>
      </c>
      <c r="F2720" s="40" t="s">
        <v>40</v>
      </c>
      <c r="G2720" s="36">
        <v>33</v>
      </c>
      <c r="H2720" s="134">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09" t="str">
        <f>VLOOKUP(B2720,辅助信息!E:J,6,FALSE)</f>
        <v>控制炉批号！多了现场不收！,优先安排达钢,提前联系到场规格及数量</v>
      </c>
      <c r="O2720" s="62" t="str">
        <f ca="1" t="shared" si="165"/>
        <v/>
      </c>
      <c r="P2720" s="62"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0">
        <v>45882</v>
      </c>
      <c r="D2721" s="40" t="str">
        <f>VLOOKUP(B2721,辅助信息!E:K,7,FALSE)</f>
        <v>JWDDCD2025052800131</v>
      </c>
      <c r="E2721" s="40" t="str">
        <f>VLOOKUP(F2721,辅助信息!A:B,2,FALSE)</f>
        <v>盘螺</v>
      </c>
      <c r="F2721" s="40" t="s">
        <v>41</v>
      </c>
      <c r="G2721" s="36">
        <v>12</v>
      </c>
      <c r="H2721" s="134">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09" t="str">
        <f>VLOOKUP(B2721,辅助信息!E:J,6,FALSE)</f>
        <v>控制炉批号！多了现场不收！,优先安排达钢,提前联系到场规格及数量</v>
      </c>
      <c r="O2721" s="62" t="str">
        <f ca="1" t="shared" si="165"/>
        <v/>
      </c>
      <c r="P2721" s="62"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0">
        <v>45881</v>
      </c>
      <c r="D2722" s="40" t="str">
        <f>VLOOKUP(B2722,辅助信息!E:K,7,FALSE)</f>
        <v>JWDDCD2025071500024</v>
      </c>
      <c r="E2722" s="40" t="str">
        <f>VLOOKUP(F2722,辅助信息!A:B,2,FALSE)</f>
        <v>螺纹钢</v>
      </c>
      <c r="F2722" s="40" t="s">
        <v>32</v>
      </c>
      <c r="G2722" s="36">
        <v>27</v>
      </c>
      <c r="H2722" s="134">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09" t="str">
        <f>VLOOKUP(B2722,辅助信息!E:J,6,FALSE)</f>
        <v>炉批号尽可能不要多</v>
      </c>
      <c r="O2722" s="62" t="str">
        <f ca="1" t="shared" si="165"/>
        <v/>
      </c>
      <c r="P2722" s="62"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0">
        <v>45881</v>
      </c>
      <c r="D2723" s="40" t="str">
        <f>VLOOKUP(B2723,辅助信息!E:K,7,FALSE)</f>
        <v>JWDDCD2025071500024</v>
      </c>
      <c r="E2723" s="40" t="str">
        <f>VLOOKUP(F2723,辅助信息!A:B,2,FALSE)</f>
        <v>螺纹钢</v>
      </c>
      <c r="F2723" s="40" t="s">
        <v>30</v>
      </c>
      <c r="G2723" s="36">
        <v>9</v>
      </c>
      <c r="H2723" s="134"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09" t="str">
        <f>VLOOKUP(B2723,辅助信息!E:J,6,FALSE)</f>
        <v>炉批号尽可能不要多</v>
      </c>
      <c r="O2723" s="62" t="str">
        <f ca="1" t="shared" si="165"/>
        <v/>
      </c>
      <c r="P2723" s="62"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0">
        <v>45882</v>
      </c>
      <c r="D2724" s="40" t="str">
        <f>VLOOKUP(B2724,辅助信息!E:K,7,FALSE)</f>
        <v>JWDDCD2025052800131</v>
      </c>
      <c r="E2724" s="40" t="str">
        <f>VLOOKUP(F2724,辅助信息!A:B,2,FALSE)</f>
        <v>盘螺</v>
      </c>
      <c r="F2724" s="40" t="s">
        <v>40</v>
      </c>
      <c r="G2724" s="36">
        <v>25</v>
      </c>
      <c r="H2724" s="134">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09" t="str">
        <f>VLOOKUP(B2724,辅助信息!E:J,6,FALSE)</f>
        <v>控制炉批号！多了现场不收！,优先安排达钢,提前联系到场规格及数量</v>
      </c>
      <c r="O2724" s="62" t="str">
        <f ca="1" t="shared" si="165"/>
        <v/>
      </c>
      <c r="P2724" s="62"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0">
        <v>45882</v>
      </c>
      <c r="D2725" s="40" t="str">
        <f>VLOOKUP(B2725,辅助信息!E:K,7,FALSE)</f>
        <v>JWDDCD2025052800131</v>
      </c>
      <c r="E2725" s="40" t="str">
        <f>VLOOKUP(F2725,辅助信息!A:B,2,FALSE)</f>
        <v>螺纹钢</v>
      </c>
      <c r="F2725" s="40" t="s">
        <v>19</v>
      </c>
      <c r="G2725" s="36">
        <v>6</v>
      </c>
      <c r="H2725" s="134">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09" t="str">
        <f>VLOOKUP(B2725,辅助信息!E:J,6,FALSE)</f>
        <v>控制炉批号！多了现场不收！,优先安排达钢,提前联系到场规格及数量</v>
      </c>
      <c r="O2725" s="62" t="str">
        <f ca="1" t="shared" si="165"/>
        <v/>
      </c>
      <c r="P2725" s="62"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0">
        <v>45882</v>
      </c>
      <c r="D2726" s="40" t="str">
        <f>VLOOKUP(B2726,辅助信息!E:K,7,FALSE)</f>
        <v>JWDDCD2025052800131</v>
      </c>
      <c r="E2726" s="40" t="str">
        <f>VLOOKUP(F2726,辅助信息!A:B,2,FALSE)</f>
        <v>螺纹钢</v>
      </c>
      <c r="F2726" s="40" t="s">
        <v>66</v>
      </c>
      <c r="G2726" s="36">
        <v>3</v>
      </c>
      <c r="H2726" s="134">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09" t="str">
        <f>VLOOKUP(B2726,辅助信息!E:J,6,FALSE)</f>
        <v>控制炉批号！多了现场不收！,优先安排达钢,提前联系到场规格及数量</v>
      </c>
      <c r="O2726" s="62" t="str">
        <f ca="1" t="shared" si="165"/>
        <v/>
      </c>
      <c r="P2726" s="62"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0">
        <v>45882</v>
      </c>
      <c r="D2727" s="40" t="str">
        <f>VLOOKUP(B2727,辅助信息!E:K,7,FALSE)</f>
        <v>JWDDCD2025052800131</v>
      </c>
      <c r="E2727" s="40" t="str">
        <f>VLOOKUP(F2727,辅助信息!A:B,2,FALSE)</f>
        <v>螺纹钢</v>
      </c>
      <c r="F2727" s="40" t="s">
        <v>45</v>
      </c>
      <c r="G2727" s="36">
        <v>3</v>
      </c>
      <c r="H2727" s="134">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09" t="str">
        <f>VLOOKUP(B2727,辅助信息!E:J,6,FALSE)</f>
        <v>控制炉批号！多了现场不收！,优先安排达钢,提前联系到场规格及数量</v>
      </c>
      <c r="O2727" s="62" t="str">
        <f ca="1" t="shared" si="165"/>
        <v/>
      </c>
      <c r="P2727" s="62"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0">
        <v>45882</v>
      </c>
      <c r="D2728" s="40" t="str">
        <f>VLOOKUP(B2728,辅助信息!E:K,7,FALSE)</f>
        <v>JWDDCD2025052800131</v>
      </c>
      <c r="E2728" s="40" t="str">
        <f>VLOOKUP(F2728,辅助信息!A:B,2,FALSE)</f>
        <v>螺纹钢</v>
      </c>
      <c r="F2728" s="40" t="s">
        <v>21</v>
      </c>
      <c r="G2728" s="36">
        <v>21</v>
      </c>
      <c r="H2728" s="134">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09" t="str">
        <f>VLOOKUP(B2728,辅助信息!E:J,6,FALSE)</f>
        <v>控制炉批号！多了现场不收！,优先安排达钢,提前联系到场规格及数量</v>
      </c>
      <c r="O2728" s="62" t="str">
        <f ca="1" t="shared" si="165"/>
        <v/>
      </c>
      <c r="P2728" s="62"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0">
        <v>45882</v>
      </c>
      <c r="D2729" s="40" t="str">
        <f>VLOOKUP(B2729,辅助信息!E:K,7,FALSE)</f>
        <v>JWDDCD2025052800131</v>
      </c>
      <c r="E2729" s="40" t="str">
        <f>VLOOKUP(F2729,辅助信息!A:B,2,FALSE)</f>
        <v>螺纹钢</v>
      </c>
      <c r="F2729" s="40" t="s">
        <v>58</v>
      </c>
      <c r="G2729" s="36">
        <v>15</v>
      </c>
      <c r="H2729" s="134">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09" t="str">
        <f>VLOOKUP(B2729,辅助信息!E:J,6,FALSE)</f>
        <v>控制炉批号！多了现场不收！,优先安排达钢,提前联系到场规格及数量</v>
      </c>
      <c r="O2729" s="62" t="str">
        <f ca="1" t="shared" si="165"/>
        <v/>
      </c>
      <c r="P2729" s="62"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0">
        <v>45882</v>
      </c>
      <c r="D2730" s="40" t="str">
        <f>VLOOKUP(B2730,辅助信息!E:K,7,FALSE)</f>
        <v>JWDDCD2025052800131</v>
      </c>
      <c r="E2730" s="40" t="str">
        <f>VLOOKUP(F2730,辅助信息!A:B,2,FALSE)</f>
        <v>螺纹钢</v>
      </c>
      <c r="F2730" s="40" t="s">
        <v>46</v>
      </c>
      <c r="G2730" s="36">
        <v>3</v>
      </c>
      <c r="H2730" s="134">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09" t="str">
        <f>VLOOKUP(B2730,辅助信息!E:J,6,FALSE)</f>
        <v>控制炉批号！多了现场不收！,优先安排达钢,提前联系到场规格及数量</v>
      </c>
      <c r="O2730" s="62" t="str">
        <f ca="1" t="shared" si="165"/>
        <v/>
      </c>
      <c r="P2730" s="62"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0">
        <v>45882</v>
      </c>
      <c r="D2731" s="40" t="str">
        <f>VLOOKUP(B2731,辅助信息!E:K,7,FALSE)</f>
        <v>JWDDCD2025052800131</v>
      </c>
      <c r="E2731" s="40" t="str">
        <f>VLOOKUP(F2731,辅助信息!A:B,2,FALSE)</f>
        <v>螺纹钢</v>
      </c>
      <c r="F2731" s="40" t="s">
        <v>22</v>
      </c>
      <c r="G2731" s="36">
        <v>3</v>
      </c>
      <c r="H2731" s="134">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09" t="str">
        <f>VLOOKUP(B2731,辅助信息!E:J,6,FALSE)</f>
        <v>控制炉批号！多了现场不收！,优先安排达钢,提前联系到场规格及数量</v>
      </c>
      <c r="O2731" s="62" t="str">
        <f ca="1" t="shared" si="165"/>
        <v/>
      </c>
      <c r="P2731" s="62"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0">
        <v>45882</v>
      </c>
      <c r="D2732" s="40" t="str">
        <f>VLOOKUP(B2732,辅助信息!E:K,7,FALSE)</f>
        <v>JWDDCD2025072900123</v>
      </c>
      <c r="E2732" s="40" t="str">
        <f>VLOOKUP(F2732,辅助信息!A:B,2,FALSE)</f>
        <v>盘螺</v>
      </c>
      <c r="F2732" s="40" t="s">
        <v>40</v>
      </c>
      <c r="G2732" s="36">
        <v>2</v>
      </c>
      <c r="H2732" s="134">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09" t="str">
        <f>VLOOKUP(B2732,辅助信息!E:J,6,FALSE)</f>
        <v>联系实际收货人（彭江涛13990276572）现场要求炉批号控制2个以下，超2个不给予签收。提前联系到场规格及数量</v>
      </c>
      <c r="O2732" s="62" t="str">
        <f ca="1" t="shared" si="165"/>
        <v/>
      </c>
      <c r="P2732" s="62"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0">
        <v>45882</v>
      </c>
      <c r="D2733" s="40" t="str">
        <f>VLOOKUP(B2733,辅助信息!E:K,7,FALSE)</f>
        <v>JWDDCD2025072900123</v>
      </c>
      <c r="E2733" s="40" t="str">
        <f>VLOOKUP(F2733,辅助信息!A:B,2,FALSE)</f>
        <v>盘螺</v>
      </c>
      <c r="F2733" s="40" t="s">
        <v>41</v>
      </c>
      <c r="G2733" s="36">
        <v>6</v>
      </c>
      <c r="H2733" s="134">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09" t="str">
        <f>VLOOKUP(B2733,辅助信息!E:J,6,FALSE)</f>
        <v>联系实际收货人（彭江涛13990276572）现场要求炉批号控制2个以下，超2个不给予签收。提前联系到场规格及数量</v>
      </c>
      <c r="O2733" s="62" t="str">
        <f ca="1" t="shared" si="165"/>
        <v/>
      </c>
      <c r="P2733" s="62"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0">
        <v>45882</v>
      </c>
      <c r="D2734" s="40" t="str">
        <f>VLOOKUP(B2734,辅助信息!E:K,7,FALSE)</f>
        <v>JWDDCD2025072900123</v>
      </c>
      <c r="E2734" s="40" t="str">
        <f>VLOOKUP(F2734,辅助信息!A:B,2,FALSE)</f>
        <v>盘螺</v>
      </c>
      <c r="F2734" s="40" t="s">
        <v>26</v>
      </c>
      <c r="G2734" s="36">
        <v>31</v>
      </c>
      <c r="H2734" s="134">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09" t="str">
        <f>VLOOKUP(B2734,辅助信息!E:J,6,FALSE)</f>
        <v>联系实际收货人（彭江涛13990276572）现场要求炉批号控制2个以下，超2个不给予签收。提前联系到场规格及数量</v>
      </c>
      <c r="O2734" s="62" t="str">
        <f ca="1" t="shared" si="165"/>
        <v/>
      </c>
      <c r="P2734" s="62"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0">
        <v>45882</v>
      </c>
      <c r="D2735" s="40" t="str">
        <f>VLOOKUP(B2735,辅助信息!E:K,7,FALSE)</f>
        <v>JWDDCD2025072900123</v>
      </c>
      <c r="E2735" s="40" t="str">
        <f>VLOOKUP(F2735,辅助信息!A:B,2,FALSE)</f>
        <v>螺纹钢</v>
      </c>
      <c r="F2735" s="40" t="s">
        <v>32</v>
      </c>
      <c r="G2735" s="36">
        <v>4</v>
      </c>
      <c r="H2735" s="134">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09" t="str">
        <f>VLOOKUP(B2735,辅助信息!E:J,6,FALSE)</f>
        <v>联系实际收货人（彭江涛13990276572）现场要求炉批号控制2个以下，超2个不给予签收。提前联系到场规格及数量</v>
      </c>
      <c r="O2735" s="62" t="str">
        <f ca="1" t="shared" si="165"/>
        <v/>
      </c>
      <c r="P2735" s="62"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0">
        <v>45882</v>
      </c>
      <c r="D2736" s="40" t="str">
        <f>VLOOKUP(B2736,辅助信息!E:K,7,FALSE)</f>
        <v>JWDDCD2025072900123</v>
      </c>
      <c r="E2736" s="40" t="str">
        <f>VLOOKUP(F2736,辅助信息!A:B,2,FALSE)</f>
        <v>螺纹钢</v>
      </c>
      <c r="F2736" s="40" t="s">
        <v>30</v>
      </c>
      <c r="G2736" s="36">
        <v>8</v>
      </c>
      <c r="H2736" s="134">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09" t="str">
        <f>VLOOKUP(B2736,辅助信息!E:J,6,FALSE)</f>
        <v>联系实际收货人（彭江涛13990276572）现场要求炉批号控制2个以下，超2个不给予签收。提前联系到场规格及数量</v>
      </c>
      <c r="O2736" s="62" t="str">
        <f ca="1" t="shared" si="165"/>
        <v/>
      </c>
      <c r="P2736" s="62"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0">
        <v>45882</v>
      </c>
      <c r="D2737" s="40" t="str">
        <f>VLOOKUP(B2737,辅助信息!E:K,7,FALSE)</f>
        <v>JWDDCD2025072900123</v>
      </c>
      <c r="E2737" s="40" t="str">
        <f>VLOOKUP(F2737,辅助信息!A:B,2,FALSE)</f>
        <v>螺纹钢</v>
      </c>
      <c r="F2737" s="40" t="s">
        <v>18</v>
      </c>
      <c r="G2737" s="36">
        <v>34</v>
      </c>
      <c r="H2737" s="134">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09" t="str">
        <f>VLOOKUP(B2737,辅助信息!E:J,6,FALSE)</f>
        <v>联系实际收货人（彭江涛13990276572）现场要求炉批号控制2个以下，超2个不给予签收。提前联系到场规格及数量</v>
      </c>
      <c r="O2737" s="62" t="str">
        <f ca="1" t="shared" si="165"/>
        <v/>
      </c>
      <c r="P2737" s="62"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0">
        <v>45882</v>
      </c>
      <c r="D2738" s="40" t="str">
        <f>VLOOKUP(B2738,辅助信息!E:K,7,FALSE)</f>
        <v>JWDDCD2025072900123</v>
      </c>
      <c r="E2738" s="40" t="str">
        <f>VLOOKUP(F2738,辅助信息!A:B,2,FALSE)</f>
        <v>螺纹钢</v>
      </c>
      <c r="F2738" s="40" t="s">
        <v>21</v>
      </c>
      <c r="G2738" s="36">
        <v>2.5</v>
      </c>
      <c r="H2738" s="134">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09" t="str">
        <f>VLOOKUP(B2738,辅助信息!E:J,6,FALSE)</f>
        <v>联系实际收货人（彭江涛13990276572）现场要求炉批号控制2个以下，超2个不给予签收。提前联系到场规格及数量</v>
      </c>
      <c r="O2738" s="62" t="str">
        <f ca="1" t="shared" si="165"/>
        <v/>
      </c>
      <c r="P2738" s="62"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0">
        <v>45882</v>
      </c>
      <c r="D2739" s="40" t="str">
        <f>VLOOKUP(B2739,辅助信息!E:K,7,FALSE)</f>
        <v>JWDDCD2025072900123</v>
      </c>
      <c r="E2739" s="40" t="str">
        <f>VLOOKUP(F2739,辅助信息!A:B,2,FALSE)</f>
        <v>螺纹钢</v>
      </c>
      <c r="F2739" s="40" t="s">
        <v>58</v>
      </c>
      <c r="G2739" s="36">
        <v>3.5</v>
      </c>
      <c r="H2739" s="134">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09" t="str">
        <f>VLOOKUP(B2739,辅助信息!E:J,6,FALSE)</f>
        <v>联系实际收货人（彭江涛13990276572）现场要求炉批号控制2个以下，超2个不给予签收。提前联系到场规格及数量</v>
      </c>
      <c r="O2739" s="62" t="str">
        <f ca="1" t="shared" si="165"/>
        <v/>
      </c>
      <c r="P2739" s="62"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0">
        <v>45882</v>
      </c>
      <c r="D2740" s="40" t="str">
        <f>VLOOKUP(B2740,辅助信息!E:K,7,FALSE)</f>
        <v>JWDDCD2025072900123</v>
      </c>
      <c r="E2740" s="40" t="str">
        <f>VLOOKUP(F2740,辅助信息!A:B,2,FALSE)</f>
        <v>螺纹钢</v>
      </c>
      <c r="F2740" s="40" t="s">
        <v>46</v>
      </c>
      <c r="G2740" s="36">
        <v>2.5</v>
      </c>
      <c r="H2740" s="134">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09" t="str">
        <f>VLOOKUP(B2740,辅助信息!E:J,6,FALSE)</f>
        <v>联系实际收货人（彭江涛13990276572）现场要求炉批号控制2个以下，超2个不给予签收。提前联系到场规格及数量</v>
      </c>
      <c r="O2740" s="62" t="str">
        <f ca="1" t="shared" si="165"/>
        <v/>
      </c>
      <c r="P2740" s="62"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0">
        <v>45882</v>
      </c>
      <c r="D2741" s="40" t="str">
        <f>VLOOKUP(B2741,辅助信息!E:K,7,FALSE)</f>
        <v>JWDDCD2025072900123</v>
      </c>
      <c r="E2741" s="40" t="str">
        <f>VLOOKUP(F2741,辅助信息!A:B,2,FALSE)</f>
        <v>螺纹钢</v>
      </c>
      <c r="F2741" s="40" t="s">
        <v>22</v>
      </c>
      <c r="G2741" s="36">
        <v>31</v>
      </c>
      <c r="H2741" s="134">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09" t="str">
        <f>VLOOKUP(B2741,辅助信息!E:J,6,FALSE)</f>
        <v>联系实际收货人（彭江涛13990276572）现场要求炉批号控制2个以下，超2个不给予签收。提前联系到场规格及数量</v>
      </c>
      <c r="O2741" s="62" t="str">
        <f ca="1" t="shared" si="165"/>
        <v/>
      </c>
      <c r="P2741" s="62"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0">
        <v>45882</v>
      </c>
      <c r="D2742" s="40" t="str">
        <f>VLOOKUP(B2742,辅助信息!E:K,7,FALSE)</f>
        <v>JWDDCD2025072900123</v>
      </c>
      <c r="E2742" s="40" t="str">
        <f>VLOOKUP(F2742,辅助信息!A:B,2,FALSE)</f>
        <v>螺纹钢</v>
      </c>
      <c r="F2742" s="40" t="s">
        <v>91</v>
      </c>
      <c r="G2742" s="36">
        <v>10</v>
      </c>
      <c r="H2742" s="134">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09" t="str">
        <f>VLOOKUP(B2742,辅助信息!E:J,6,FALSE)</f>
        <v>联系实际收货人（彭江涛13990276572）现场要求炉批号控制2个以下，超2个不给予签收。提前联系到场规格及数量</v>
      </c>
      <c r="O2742" s="62" t="str">
        <f ca="1" t="shared" si="165"/>
        <v/>
      </c>
      <c r="P2742" s="62"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0">
        <v>45882</v>
      </c>
      <c r="D2743" s="40" t="str">
        <f>VLOOKUP(B2743,辅助信息!E:K,7,FALSE)</f>
        <v>JWDDCD2025072900121</v>
      </c>
      <c r="E2743" s="40" t="str">
        <f>VLOOKUP(F2743,辅助信息!A:B,2,FALSE)</f>
        <v>盘螺</v>
      </c>
      <c r="F2743" s="40" t="s">
        <v>40</v>
      </c>
      <c r="G2743" s="36">
        <v>12</v>
      </c>
      <c r="H2743" s="134">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09" t="str">
        <f>VLOOKUP(B2743,辅助信息!E:J,6,FALSE)</f>
        <v>联系实际收货人（范增云13668153241）现场要求炉批号控制2个以下，超2个不给予签收。提前联系到场规格及数量</v>
      </c>
      <c r="O2743" s="62" t="str">
        <f ca="1" t="shared" si="165"/>
        <v/>
      </c>
      <c r="P2743" s="62"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0">
        <v>45882</v>
      </c>
      <c r="D2744" s="40" t="str">
        <f>VLOOKUP(B2744,辅助信息!E:K,7,FALSE)</f>
        <v>JWDDCD2025072900121</v>
      </c>
      <c r="E2744" s="40" t="str">
        <f>VLOOKUP(F2744,辅助信息!A:B,2,FALSE)</f>
        <v>盘螺</v>
      </c>
      <c r="F2744" s="40" t="s">
        <v>41</v>
      </c>
      <c r="G2744" s="36">
        <v>30</v>
      </c>
      <c r="H2744" s="134">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09" t="str">
        <f>VLOOKUP(B2744,辅助信息!E:J,6,FALSE)</f>
        <v>联系实际收货人（范增云13668153241）现场要求炉批号控制2个以下，超2个不给予签收。提前联系到场规格及数量</v>
      </c>
      <c r="O2744" s="62" t="str">
        <f ca="1" t="shared" si="165"/>
        <v/>
      </c>
      <c r="P2744" s="62"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0">
        <v>45882</v>
      </c>
      <c r="D2745" s="40" t="str">
        <f>VLOOKUP(B2745,辅助信息!E:K,7,FALSE)</f>
        <v>JWDDCD2025072900121</v>
      </c>
      <c r="E2745" s="40" t="str">
        <f>VLOOKUP(F2745,辅助信息!A:B,2,FALSE)</f>
        <v>螺纹钢</v>
      </c>
      <c r="F2745" s="40" t="s">
        <v>27</v>
      </c>
      <c r="G2745" s="36">
        <v>35</v>
      </c>
      <c r="H2745" s="134">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09" t="str">
        <f>VLOOKUP(B2745,辅助信息!E:J,6,FALSE)</f>
        <v>联系实际收货人（范增云13668153241）现场要求炉批号控制2个以下，超2个不给予签收。提前联系到场规格及数量</v>
      </c>
      <c r="O2745" s="62" t="str">
        <f ca="1" t="shared" si="165"/>
        <v/>
      </c>
      <c r="P2745" s="62"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0">
        <v>45882</v>
      </c>
      <c r="D2746" s="40" t="str">
        <f>VLOOKUP(B2746,辅助信息!E:K,7,FALSE)</f>
        <v>JWDDCD2025072900121</v>
      </c>
      <c r="E2746" s="40" t="str">
        <f>VLOOKUP(F2746,辅助信息!A:B,2,FALSE)</f>
        <v>螺纹钢</v>
      </c>
      <c r="F2746" s="40" t="s">
        <v>19</v>
      </c>
      <c r="G2746" s="36">
        <v>14</v>
      </c>
      <c r="H2746" s="134">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09" t="str">
        <f>VLOOKUP(B2746,辅助信息!E:J,6,FALSE)</f>
        <v>联系实际收货人（范增云13668153241）现场要求炉批号控制2个以下，超2个不给予签收。提前联系到场规格及数量</v>
      </c>
      <c r="O2746" s="62" t="str">
        <f ca="1" t="shared" si="165"/>
        <v/>
      </c>
      <c r="P2746" s="62"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0">
        <v>45882</v>
      </c>
      <c r="D2747" s="40" t="str">
        <f>VLOOKUP(B2747,辅助信息!E:K,7,FALSE)</f>
        <v>JWDDCD2025072900121</v>
      </c>
      <c r="E2747" s="40" t="str">
        <f>VLOOKUP(F2747,辅助信息!A:B,2,FALSE)</f>
        <v>螺纹钢</v>
      </c>
      <c r="F2747" s="40" t="s">
        <v>32</v>
      </c>
      <c r="G2747" s="36">
        <v>5</v>
      </c>
      <c r="H2747" s="134">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09" t="str">
        <f>VLOOKUP(B2747,辅助信息!E:J,6,FALSE)</f>
        <v>联系实际收货人（范增云13668153241）现场要求炉批号控制2个以下，超2个不给予签收。提前联系到场规格及数量</v>
      </c>
      <c r="O2747" s="62" t="str">
        <f ca="1" t="shared" si="165"/>
        <v/>
      </c>
      <c r="P2747" s="62"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0">
        <v>45882</v>
      </c>
      <c r="D2748" s="40" t="str">
        <f>VLOOKUP(B2748,辅助信息!E:K,7,FALSE)</f>
        <v>JWDDCD2025072900121</v>
      </c>
      <c r="E2748" s="40" t="str">
        <f>VLOOKUP(F2748,辅助信息!A:B,2,FALSE)</f>
        <v>螺纹钢</v>
      </c>
      <c r="F2748" s="40" t="s">
        <v>30</v>
      </c>
      <c r="G2748" s="36">
        <v>5</v>
      </c>
      <c r="H2748" s="134">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09" t="str">
        <f>VLOOKUP(B2748,辅助信息!E:J,6,FALSE)</f>
        <v>联系实际收货人（范增云13668153241）现场要求炉批号控制2个以下，超2个不给予签收。提前联系到场规格及数量</v>
      </c>
      <c r="O2748" s="62" t="str">
        <f ca="1" t="shared" si="165"/>
        <v/>
      </c>
      <c r="P2748" s="62"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0">
        <v>45882</v>
      </c>
      <c r="D2749" s="40" t="str">
        <f>VLOOKUP(B2749,辅助信息!E:K,7,FALSE)</f>
        <v>JWDDCD2025072900121</v>
      </c>
      <c r="E2749" s="40" t="str">
        <f>VLOOKUP(F2749,辅助信息!A:B,2,FALSE)</f>
        <v>螺纹钢</v>
      </c>
      <c r="F2749" s="40" t="s">
        <v>33</v>
      </c>
      <c r="G2749" s="36">
        <v>5</v>
      </c>
      <c r="H2749" s="134">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09" t="str">
        <f>VLOOKUP(B2749,辅助信息!E:J,6,FALSE)</f>
        <v>联系实际收货人（范增云13668153241）现场要求炉批号控制2个以下，超2个不给予签收。提前联系到场规格及数量</v>
      </c>
      <c r="O2749" s="62" t="str">
        <f ca="1" t="shared" si="165"/>
        <v/>
      </c>
      <c r="P2749" s="62"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0">
        <v>45882</v>
      </c>
      <c r="D2750" s="40" t="str">
        <f>VLOOKUP(B2750,辅助信息!E:K,7,FALSE)</f>
        <v>JWDDCD2025072900121</v>
      </c>
      <c r="E2750" s="40" t="str">
        <f>VLOOKUP(F2750,辅助信息!A:B,2,FALSE)</f>
        <v>螺纹钢</v>
      </c>
      <c r="F2750" s="40" t="s">
        <v>28</v>
      </c>
      <c r="G2750" s="36">
        <v>40</v>
      </c>
      <c r="H2750" s="134">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09" t="str">
        <f>VLOOKUP(B2750,辅助信息!E:J,6,FALSE)</f>
        <v>联系实际收货人（范增云13668153241）现场要求炉批号控制2个以下，超2个不给予签收。提前联系到场规格及数量</v>
      </c>
      <c r="O2750" s="62" t="str">
        <f ca="1" t="shared" si="165"/>
        <v/>
      </c>
      <c r="P2750" s="62"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0">
        <v>45882</v>
      </c>
      <c r="D2751" s="40" t="str">
        <f>VLOOKUP(B2751,辅助信息!E:K,7,FALSE)</f>
        <v>JWDDCD2025072900121</v>
      </c>
      <c r="E2751" s="40" t="str">
        <f>VLOOKUP(F2751,辅助信息!A:B,2,FALSE)</f>
        <v>螺纹钢</v>
      </c>
      <c r="F2751" s="40" t="s">
        <v>18</v>
      </c>
      <c r="G2751" s="36">
        <v>81</v>
      </c>
      <c r="H2751" s="134">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09" t="str">
        <f>VLOOKUP(B2751,辅助信息!E:J,6,FALSE)</f>
        <v>联系实际收货人（范增云13668153241）现场要求炉批号控制2个以下，超2个不给予签收。提前联系到场规格及数量</v>
      </c>
      <c r="O2751" s="62" t="str">
        <f ca="1" t="shared" si="165"/>
        <v/>
      </c>
      <c r="P2751" s="62"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0">
        <v>45882</v>
      </c>
      <c r="D2752" s="40" t="str">
        <f>VLOOKUP(B2752,辅助信息!E:K,7,FALSE)</f>
        <v>JWDDCD2025072900121</v>
      </c>
      <c r="E2752" s="40" t="str">
        <f>VLOOKUP(F2752,辅助信息!A:B,2,FALSE)</f>
        <v>螺纹钢</v>
      </c>
      <c r="F2752" s="40" t="s">
        <v>65</v>
      </c>
      <c r="G2752" s="36">
        <v>17</v>
      </c>
      <c r="H2752" s="134">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09" t="str">
        <f>VLOOKUP(B2752,辅助信息!E:J,6,FALSE)</f>
        <v>联系实际收货人（范增云13668153241）现场要求炉批号控制2个以下，超2个不给予签收。提前联系到场规格及数量</v>
      </c>
      <c r="O2752" s="62" t="str">
        <f ca="1" t="shared" si="165"/>
        <v/>
      </c>
      <c r="P2752" s="62"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0">
        <v>45882</v>
      </c>
      <c r="D2753" s="40" t="str">
        <f>VLOOKUP(B2753,辅助信息!E:K,7,FALSE)</f>
        <v>JWDDCD2025072900121</v>
      </c>
      <c r="E2753" s="40" t="str">
        <f>VLOOKUP(F2753,辅助信息!A:B,2,FALSE)</f>
        <v>螺纹钢</v>
      </c>
      <c r="F2753" s="40" t="s">
        <v>52</v>
      </c>
      <c r="G2753" s="36">
        <v>5</v>
      </c>
      <c r="H2753" s="134">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09" t="str">
        <f>VLOOKUP(B2753,辅助信息!E:J,6,FALSE)</f>
        <v>联系实际收货人（范增云13668153241）现场要求炉批号控制2个以下，超2个不给予签收。提前联系到场规格及数量</v>
      </c>
      <c r="O2753" s="62" t="str">
        <f ca="1" t="shared" si="165"/>
        <v/>
      </c>
      <c r="P2753" s="62"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0">
        <v>45882</v>
      </c>
      <c r="D2754" s="40" t="str">
        <f>VLOOKUP(B2754,辅助信息!E:K,7,FALSE)</f>
        <v>JWDDCD2025060900080</v>
      </c>
      <c r="E2754" s="40" t="str">
        <f>VLOOKUP(F2754,辅助信息!A:B,2,FALSE)</f>
        <v>螺纹钢</v>
      </c>
      <c r="F2754" s="40" t="s">
        <v>32</v>
      </c>
      <c r="G2754" s="36">
        <v>35</v>
      </c>
      <c r="H2754" s="134"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09" t="str">
        <f>VLOOKUP(B2754,辅助信息!E:J,6,FALSE)</f>
        <v>现场禁止使用氢能源挂车！优先威钢发货,我方卸车,新老国标钢厂不加价可直发，因陕钢多次出现磅差，项目拒绝使用</v>
      </c>
      <c r="O2754" s="62" t="str">
        <f ca="1" t="shared" si="165"/>
        <v/>
      </c>
      <c r="P2754" s="62"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0">
        <v>45882</v>
      </c>
      <c r="D2755" s="40" t="str">
        <f>VLOOKUP(B2755,辅助信息!E:K,7,FALSE)</f>
        <v>JWDDCD2025051800046</v>
      </c>
      <c r="E2755" s="40" t="str">
        <f>VLOOKUP(F2755,辅助信息!A:B,2,FALSE)</f>
        <v>盘螺</v>
      </c>
      <c r="F2755" s="40" t="s">
        <v>49</v>
      </c>
      <c r="G2755" s="36">
        <v>6</v>
      </c>
      <c r="H2755" s="134"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09" t="str">
        <f>VLOOKUP(B2755,辅助信息!E:J,6,FALSE)</f>
        <v>优先威钢,我方卸车,新老国标钢厂不加价可直发</v>
      </c>
      <c r="O2755" s="62" t="str">
        <f ca="1" t="shared" si="165"/>
        <v/>
      </c>
      <c r="P2755" s="62"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0">
        <v>45882</v>
      </c>
      <c r="D2756" s="40" t="str">
        <f>VLOOKUP(B2756,辅助信息!E:K,7,FALSE)</f>
        <v>JWDDCD2025051800046</v>
      </c>
      <c r="E2756" s="40" t="str">
        <f>VLOOKUP(F2756,辅助信息!A:B,2,FALSE)</f>
        <v>盘螺</v>
      </c>
      <c r="F2756" s="40" t="s">
        <v>40</v>
      </c>
      <c r="G2756" s="36">
        <v>15</v>
      </c>
      <c r="H2756" s="134"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09" t="str">
        <f>VLOOKUP(B2756,辅助信息!E:J,6,FALSE)</f>
        <v>优先威钢,我方卸车,新老国标钢厂不加价可直发</v>
      </c>
      <c r="O2756" s="62" t="str">
        <f ca="1" t="shared" si="165"/>
        <v/>
      </c>
      <c r="P2756" s="62"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0">
        <v>45882</v>
      </c>
      <c r="D2757" s="40" t="str">
        <f>VLOOKUP(B2757,辅助信息!E:K,7,FALSE)</f>
        <v>JWDDCD2025051800046</v>
      </c>
      <c r="E2757" s="40" t="str">
        <f>VLOOKUP(F2757,辅助信息!A:B,2,FALSE)</f>
        <v>盘螺</v>
      </c>
      <c r="F2757" s="40" t="s">
        <v>41</v>
      </c>
      <c r="G2757" s="36">
        <v>15</v>
      </c>
      <c r="H2757" s="134"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09" t="str">
        <f>VLOOKUP(B2757,辅助信息!E:J,6,FALSE)</f>
        <v>优先威钢,我方卸车,新老国标钢厂不加价可直发</v>
      </c>
      <c r="O2757" s="62" t="str">
        <f ca="1" t="shared" si="165"/>
        <v/>
      </c>
      <c r="P2757" s="62"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0">
        <v>45883</v>
      </c>
      <c r="D2758" s="40" t="str">
        <f>VLOOKUP(B2758,辅助信息!E:K,7,FALSE)</f>
        <v>JWDDCD2025060900080</v>
      </c>
      <c r="E2758" s="40" t="str">
        <f>VLOOKUP(F2758,辅助信息!A:B,2,FALSE)</f>
        <v>螺纹钢</v>
      </c>
      <c r="F2758" s="40" t="s">
        <v>32</v>
      </c>
      <c r="G2758" s="36">
        <v>35</v>
      </c>
      <c r="H2758" s="134">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09" t="str">
        <f>VLOOKUP(B2758,辅助信息!E:J,6,FALSE)</f>
        <v>现场禁止使用氢能源挂车！优先威钢发货,我方卸车,新老国标钢厂不加价可直发，因陕钢多次出现磅差，项目拒绝使用</v>
      </c>
      <c r="O2758" s="62" t="str">
        <f ca="1" t="shared" si="165"/>
        <v/>
      </c>
      <c r="P2758" s="62"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0">
        <v>45883</v>
      </c>
      <c r="D2759" s="40" t="str">
        <f>VLOOKUP(B2759,辅助信息!E:K,7,FALSE)</f>
        <v>JWDDCD2025051800046</v>
      </c>
      <c r="E2759" s="40" t="str">
        <f>VLOOKUP(F2759,辅助信息!A:B,2,FALSE)</f>
        <v>盘螺</v>
      </c>
      <c r="F2759" s="40" t="s">
        <v>49</v>
      </c>
      <c r="G2759" s="36">
        <v>6</v>
      </c>
      <c r="H2759" s="134">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09" t="str">
        <f>VLOOKUP(B2759,辅助信息!E:J,6,FALSE)</f>
        <v>优先威钢,我方卸车,新老国标钢厂不加价可直发</v>
      </c>
      <c r="O2759" s="62" t="str">
        <f ca="1" t="shared" si="165"/>
        <v/>
      </c>
      <c r="P2759" s="62"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0">
        <v>45883</v>
      </c>
      <c r="D2760" s="40" t="str">
        <f>VLOOKUP(B2760,辅助信息!E:K,7,FALSE)</f>
        <v>JWDDCD2025051800046</v>
      </c>
      <c r="E2760" s="40" t="str">
        <f>VLOOKUP(F2760,辅助信息!A:B,2,FALSE)</f>
        <v>盘螺</v>
      </c>
      <c r="F2760" s="40" t="s">
        <v>40</v>
      </c>
      <c r="G2760" s="36">
        <v>15</v>
      </c>
      <c r="H2760" s="134">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09" t="str">
        <f>VLOOKUP(B2760,辅助信息!E:J,6,FALSE)</f>
        <v>优先威钢,我方卸车,新老国标钢厂不加价可直发</v>
      </c>
      <c r="O2760" s="62" t="str">
        <f ca="1" t="shared" si="165"/>
        <v/>
      </c>
      <c r="P2760" s="62"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0">
        <v>45883</v>
      </c>
      <c r="D2761" s="40" t="str">
        <f>VLOOKUP(B2761,辅助信息!E:K,7,FALSE)</f>
        <v>JWDDCD2025051800046</v>
      </c>
      <c r="E2761" s="40" t="str">
        <f>VLOOKUP(F2761,辅助信息!A:B,2,FALSE)</f>
        <v>盘螺</v>
      </c>
      <c r="F2761" s="40" t="s">
        <v>41</v>
      </c>
      <c r="G2761" s="36">
        <v>15</v>
      </c>
      <c r="H2761" s="134">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09" t="str">
        <f>VLOOKUP(B2761,辅助信息!E:J,6,FALSE)</f>
        <v>优先威钢,我方卸车,新老国标钢厂不加价可直发</v>
      </c>
      <c r="O2761" s="62" t="str">
        <f ca="1" t="shared" si="165"/>
        <v/>
      </c>
      <c r="P2761" s="62"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0">
        <v>45883</v>
      </c>
      <c r="D2762" s="40" t="str">
        <f>VLOOKUP(B2762,辅助信息!E:K,7,FALSE)</f>
        <v>JWDDCD2025072900123</v>
      </c>
      <c r="E2762" s="40" t="str">
        <f>VLOOKUP(F2762,辅助信息!A:B,2,FALSE)</f>
        <v>盘螺</v>
      </c>
      <c r="F2762" s="40" t="s">
        <v>26</v>
      </c>
      <c r="G2762" s="36">
        <v>18</v>
      </c>
      <c r="H2762" s="134">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09" t="str">
        <f>VLOOKUP(B2762,辅助信息!E:J,6,FALSE)</f>
        <v>联系实际收货人（彭江涛13990276572）现场要求炉批号控制2个以下，超2个不给予签收。提前联系到场规格及数量</v>
      </c>
      <c r="O2762" s="62" t="str">
        <f ca="1" t="shared" si="165"/>
        <v/>
      </c>
      <c r="P2762" s="62"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0">
        <v>45883</v>
      </c>
      <c r="D2763" s="40" t="str">
        <f>VLOOKUP(B2763,辅助信息!E:K,7,FALSE)</f>
        <v>JWDDCD2025072900123</v>
      </c>
      <c r="E2763" s="40" t="str">
        <f>VLOOKUP(F2763,辅助信息!A:B,2,FALSE)</f>
        <v>螺纹钢</v>
      </c>
      <c r="F2763" s="40" t="s">
        <v>76</v>
      </c>
      <c r="G2763" s="36">
        <v>8</v>
      </c>
      <c r="H2763" s="134">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09" t="str">
        <f>VLOOKUP(B2763,辅助信息!E:J,6,FALSE)</f>
        <v>联系实际收货人（彭江涛13990276572）现场要求炉批号控制2个以下，超2个不给予签收。提前联系到场规格及数量</v>
      </c>
      <c r="O2763" s="62" t="str">
        <f ca="1" t="shared" si="165"/>
        <v/>
      </c>
      <c r="P2763" s="62"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0">
        <v>45883</v>
      </c>
      <c r="D2764" s="40" t="str">
        <f>VLOOKUP(B2764,辅助信息!E:K,7,FALSE)</f>
        <v>JWDDCD2025072900123</v>
      </c>
      <c r="E2764" s="40" t="str">
        <f>VLOOKUP(F2764,辅助信息!A:B,2,FALSE)</f>
        <v>螺纹钢</v>
      </c>
      <c r="F2764" s="40" t="s">
        <v>91</v>
      </c>
      <c r="G2764" s="36">
        <v>35</v>
      </c>
      <c r="H2764" s="134">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09" t="str">
        <f>VLOOKUP(B2764,辅助信息!E:J,6,FALSE)</f>
        <v>联系实际收货人（彭江涛13990276572）现场要求炉批号控制2个以下，超2个不给予签收。提前联系到场规格及数量</v>
      </c>
      <c r="O2764" s="62" t="str">
        <f ca="1" t="shared" si="165"/>
        <v/>
      </c>
      <c r="P2764" s="62"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0">
        <v>45883</v>
      </c>
      <c r="D2765" s="40" t="str">
        <f>VLOOKUP(B2765,辅助信息!E:K,7,FALSE)</f>
        <v>JWDDCD2025072900123</v>
      </c>
      <c r="E2765" s="40" t="str">
        <f>VLOOKUP(F2765,辅助信息!A:B,2,FALSE)</f>
        <v>螺纹钢</v>
      </c>
      <c r="F2765" s="40" t="s">
        <v>205</v>
      </c>
      <c r="G2765" s="36">
        <v>5</v>
      </c>
      <c r="H2765" s="134">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09" t="str">
        <f>VLOOKUP(B2765,辅助信息!E:J,6,FALSE)</f>
        <v>联系实际收货人（彭江涛13990276572）现场要求炉批号控制2个以下，超2个不给予签收。提前联系到场规格及数量</v>
      </c>
      <c r="O2765" s="62" t="str">
        <f ca="1" t="shared" si="165"/>
        <v/>
      </c>
      <c r="P2765" s="62"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0">
        <v>45883</v>
      </c>
      <c r="D2766" s="40" t="str">
        <f>VLOOKUP(B2766,辅助信息!E:K,7,FALSE)</f>
        <v>JWDDCD2025072900123</v>
      </c>
      <c r="E2766" s="40" t="str">
        <f>VLOOKUP(F2766,辅助信息!A:B,2,FALSE)</f>
        <v>螺纹钢</v>
      </c>
      <c r="F2766" s="40" t="s">
        <v>141</v>
      </c>
      <c r="G2766" s="36">
        <v>5</v>
      </c>
      <c r="H2766" s="134">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09" t="str">
        <f>VLOOKUP(B2766,辅助信息!E:J,6,FALSE)</f>
        <v>联系实际收货人（彭江涛13990276572）现场要求炉批号控制2个以下，超2个不给予签收。提前联系到场规格及数量</v>
      </c>
      <c r="O2766" s="62" t="str">
        <f ca="1" t="shared" si="165"/>
        <v/>
      </c>
      <c r="P2766" s="62"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0">
        <v>45883</v>
      </c>
      <c r="D2767" s="40" t="str">
        <f>VLOOKUP(B2767,辅助信息!E:K,7,FALSE)</f>
        <v>JWDDCD2025072900123</v>
      </c>
      <c r="E2767" s="40" t="str">
        <f>VLOOKUP(F2767,辅助信息!A:B,2,FALSE)</f>
        <v>螺纹钢</v>
      </c>
      <c r="F2767" s="40" t="s">
        <v>142</v>
      </c>
      <c r="G2767" s="36">
        <v>20</v>
      </c>
      <c r="H2767" s="134">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09" t="str">
        <f>VLOOKUP(B2767,辅助信息!E:J,6,FALSE)</f>
        <v>联系实际收货人（彭江涛13990276572）现场要求炉批号控制2个以下，超2个不给予签收。提前联系到场规格及数量</v>
      </c>
      <c r="O2767" s="62" t="str">
        <f ca="1" t="shared" si="165"/>
        <v/>
      </c>
      <c r="P2767" s="62"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0">
        <v>45883</v>
      </c>
      <c r="D2768" s="40" t="str">
        <f>VLOOKUP(B2768,辅助信息!E:K,7,FALSE)</f>
        <v>JWDDCD2025072900123</v>
      </c>
      <c r="E2768" s="40" t="str">
        <f>VLOOKUP(F2768,辅助信息!A:B,2,FALSE)</f>
        <v>螺纹钢</v>
      </c>
      <c r="F2768" s="40" t="s">
        <v>201</v>
      </c>
      <c r="G2768" s="36">
        <v>10</v>
      </c>
      <c r="H2768" s="134">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09" t="str">
        <f>VLOOKUP(B2768,辅助信息!E:J,6,FALSE)</f>
        <v>联系实际收货人（彭江涛13990276572）现场要求炉批号控制2个以下，超2个不给予签收。提前联系到场规格及数量</v>
      </c>
      <c r="O2768" s="62" t="str">
        <f ca="1" t="shared" si="165"/>
        <v/>
      </c>
      <c r="P2768" s="62"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0">
        <v>45885</v>
      </c>
      <c r="D2769" s="40" t="str">
        <f>VLOOKUP(B2769,辅助信息!E:K,7,FALSE)</f>
        <v>JWDDCD2025052800131</v>
      </c>
      <c r="E2769" s="40" t="str">
        <f>VLOOKUP(F2769,辅助信息!A:B,2,FALSE)</f>
        <v>螺纹钢</v>
      </c>
      <c r="F2769" s="40" t="s">
        <v>27</v>
      </c>
      <c r="G2769" s="36">
        <v>3</v>
      </c>
      <c r="H2769" s="134">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09" t="str">
        <f>VLOOKUP(B2769,辅助信息!E:J,6,FALSE)</f>
        <v>控制炉批号！多了现场不收！,优先安排达钢,提前联系到场规格及数量</v>
      </c>
      <c r="O2769" s="62" t="str">
        <f ca="1" t="shared" si="165"/>
        <v/>
      </c>
      <c r="P2769" s="62"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0">
        <v>45885</v>
      </c>
      <c r="D2770" s="40" t="str">
        <f>VLOOKUP(B2770,辅助信息!E:K,7,FALSE)</f>
        <v>JWDDCD2025052800131</v>
      </c>
      <c r="E2770" s="40" t="str">
        <f>VLOOKUP(F2770,辅助信息!A:B,2,FALSE)</f>
        <v>螺纹钢</v>
      </c>
      <c r="F2770" s="40" t="s">
        <v>30</v>
      </c>
      <c r="G2770" s="36">
        <v>12</v>
      </c>
      <c r="H2770" s="134">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09" t="str">
        <f>VLOOKUP(B2770,辅助信息!E:J,6,FALSE)</f>
        <v>控制炉批号！多了现场不收！,优先安排达钢,提前联系到场规格及数量</v>
      </c>
      <c r="O2770" s="62" t="str">
        <f ca="1" t="shared" si="165"/>
        <v/>
      </c>
      <c r="P2770" s="62"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0">
        <v>45885</v>
      </c>
      <c r="D2771" s="40" t="str">
        <f>VLOOKUP(B2771,辅助信息!E:K,7,FALSE)</f>
        <v>JWDDCD2025052800131</v>
      </c>
      <c r="E2771" s="40" t="str">
        <f>VLOOKUP(F2771,辅助信息!A:B,2,FALSE)</f>
        <v>螺纹钢</v>
      </c>
      <c r="F2771" s="40" t="s">
        <v>28</v>
      </c>
      <c r="G2771" s="36">
        <v>12</v>
      </c>
      <c r="H2771" s="134">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09" t="str">
        <f>VLOOKUP(B2771,辅助信息!E:J,6,FALSE)</f>
        <v>控制炉批号！多了现场不收！,优先安排达钢,提前联系到场规格及数量</v>
      </c>
      <c r="O2771" s="62" t="str">
        <f ca="1" t="shared" si="165"/>
        <v/>
      </c>
      <c r="P2771" s="62"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0">
        <v>45885</v>
      </c>
      <c r="D2772" s="40" t="str">
        <f>VLOOKUP(B2772,辅助信息!E:K,7,FALSE)</f>
        <v>JWDDCD2025052800131</v>
      </c>
      <c r="E2772" s="40" t="str">
        <f>VLOOKUP(F2772,辅助信息!A:B,2,FALSE)</f>
        <v>螺纹钢</v>
      </c>
      <c r="F2772" s="40" t="s">
        <v>58</v>
      </c>
      <c r="G2772" s="36">
        <v>9</v>
      </c>
      <c r="H2772" s="134">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09" t="str">
        <f>VLOOKUP(B2772,辅助信息!E:J,6,FALSE)</f>
        <v>控制炉批号！多了现场不收！,优先安排达钢,提前联系到场规格及数量</v>
      </c>
      <c r="O2772" s="62" t="str">
        <f ca="1" t="shared" si="165"/>
        <v/>
      </c>
      <c r="P2772" s="62"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0">
        <v>45885</v>
      </c>
      <c r="D2773" s="40" t="str">
        <f>VLOOKUP(B2773,辅助信息!E:K,7,FALSE)</f>
        <v>JWDDCD2025102100480</v>
      </c>
      <c r="E2773" s="40" t="str">
        <f>VLOOKUP(F2773,辅助信息!A:B,2,FALSE)</f>
        <v>高线</v>
      </c>
      <c r="F2773" s="40" t="s">
        <v>51</v>
      </c>
      <c r="G2773" s="140">
        <v>10.5</v>
      </c>
      <c r="H2773" s="134">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09" t="str">
        <f>VLOOKUP(B2773,辅助信息!E:J,6,FALSE)</f>
        <v>联系实际收货人（陶杰13980247952）五冶建设送货单,6份材质书,锈货不收，装货前联系收货人核实到场规格,没提前告知进场规格现场不给予接收</v>
      </c>
      <c r="O2773" s="62" t="str">
        <f ca="1" t="shared" si="165"/>
        <v/>
      </c>
      <c r="P2773" s="62"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0">
        <v>45885</v>
      </c>
      <c r="D2774" s="40" t="str">
        <f>VLOOKUP(B2774,辅助信息!E:K,7,FALSE)</f>
        <v>JWDDCD2025102100480</v>
      </c>
      <c r="E2774" s="40" t="str">
        <f>VLOOKUP(F2774,辅助信息!A:B,2,FALSE)</f>
        <v>高线</v>
      </c>
      <c r="F2774" s="40" t="s">
        <v>61</v>
      </c>
      <c r="G2774" s="140">
        <v>21.2</v>
      </c>
      <c r="H2774" s="134">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09" t="str">
        <f>VLOOKUP(B2774,辅助信息!E:J,6,FALSE)</f>
        <v>联系实际收货人（陶杰13980247952）五冶建设送货单,6份材质书,锈货不收，装货前联系收货人核实到场规格,没提前告知进场规格现场不给予接收</v>
      </c>
      <c r="O2774" s="62" t="str">
        <f ca="1" t="shared" si="165"/>
        <v/>
      </c>
      <c r="P2774" s="62"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0">
        <v>45885</v>
      </c>
      <c r="D2775" s="40" t="str">
        <f>VLOOKUP(B2775,辅助信息!E:K,7,FALSE)</f>
        <v>JWDDCD2025102100480</v>
      </c>
      <c r="E2775" s="40" t="str">
        <f>VLOOKUP(F2775,辅助信息!A:B,2,FALSE)</f>
        <v>螺纹钢</v>
      </c>
      <c r="F2775" s="40" t="s">
        <v>30</v>
      </c>
      <c r="G2775" s="140">
        <v>6.9</v>
      </c>
      <c r="H2775" s="134">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09" t="str">
        <f>VLOOKUP(B2775,辅助信息!E:J,6,FALSE)</f>
        <v>联系实际收货人（陶杰13980247952）五冶建设送货单,6份材质书,锈货不收，装货前联系收货人核实到场规格,没提前告知进场规格现场不给予接收</v>
      </c>
      <c r="O2775" s="62" t="str">
        <f ca="1" t="shared" si="165"/>
        <v/>
      </c>
      <c r="P2775" s="62"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0">
        <v>45885</v>
      </c>
      <c r="D2776" s="40" t="str">
        <f>VLOOKUP(B2776,辅助信息!E:K,7,FALSE)</f>
        <v>JWDDCD2025102100480</v>
      </c>
      <c r="E2776" s="40" t="str">
        <f>VLOOKUP(F2776,辅助信息!A:B,2,FALSE)</f>
        <v>螺纹钢</v>
      </c>
      <c r="F2776" s="40" t="s">
        <v>28</v>
      </c>
      <c r="G2776" s="140">
        <v>27.8</v>
      </c>
      <c r="H2776" s="134">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09" t="str">
        <f>VLOOKUP(B2776,辅助信息!E:J,6,FALSE)</f>
        <v>联系实际收货人（陶杰13980247952）五冶建设送货单,6份材质书,锈货不收，装货前联系收货人核实到场规格,没提前告知进场规格现场不给予接收</v>
      </c>
      <c r="O2776" s="62" t="str">
        <f ca="1" t="shared" si="165"/>
        <v/>
      </c>
      <c r="P2776" s="62"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0">
        <v>45885</v>
      </c>
      <c r="D2777" s="40" t="str">
        <f>VLOOKUP(B2777,辅助信息!E:K,7,FALSE)</f>
        <v>JWDDCD2025102100480</v>
      </c>
      <c r="E2777" s="40" t="str">
        <f>VLOOKUP(F2777,辅助信息!A:B,2,FALSE)</f>
        <v>螺纹钢</v>
      </c>
      <c r="F2777" s="40" t="s">
        <v>18</v>
      </c>
      <c r="G2777" s="140">
        <v>46.5</v>
      </c>
      <c r="H2777" s="134">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09" t="str">
        <f>VLOOKUP(B2777,辅助信息!E:J,6,FALSE)</f>
        <v>联系实际收货人（陶杰13980247952）五冶建设送货单,6份材质书,锈货不收，装货前联系收货人核实到场规格,没提前告知进场规格现场不给予接收</v>
      </c>
      <c r="O2777" s="62" t="str">
        <f ca="1" t="shared" si="165"/>
        <v/>
      </c>
      <c r="P2777" s="62"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0">
        <v>45885</v>
      </c>
      <c r="D2778" s="40" t="str">
        <f>VLOOKUP(B2778,辅助信息!E:K,7,FALSE)</f>
        <v>JWDD2025071500089</v>
      </c>
      <c r="E2778" s="40" t="str">
        <f>VLOOKUP(F2778,辅助信息!A:B,2,FALSE)</f>
        <v>盘螺</v>
      </c>
      <c r="F2778" s="36" t="s">
        <v>26</v>
      </c>
      <c r="G2778" s="36">
        <v>5</v>
      </c>
      <c r="H2778" s="134">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09" t="str">
        <f>VLOOKUP(B2778,辅助信息!E:J,6,FALSE)</f>
        <v>现场要求调度统一联系指定收货人，不单独发司机位置。锈货不收，装货前联系收货人核实到场规格,没提前告知进场规格现场不给予接收</v>
      </c>
      <c r="O2778" s="62" t="str">
        <f ca="1" t="shared" si="165"/>
        <v/>
      </c>
      <c r="P2778" s="62"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0">
        <v>45885</v>
      </c>
      <c r="D2779" s="40" t="str">
        <f>VLOOKUP(B2779,辅助信息!E:K,7,FALSE)</f>
        <v>JWDD2025071500089</v>
      </c>
      <c r="E2779" s="40" t="str">
        <f>VLOOKUP(F2779,辅助信息!A:B,2,FALSE)</f>
        <v>螺纹钢</v>
      </c>
      <c r="F2779" s="36" t="s">
        <v>27</v>
      </c>
      <c r="G2779" s="36">
        <v>10</v>
      </c>
      <c r="H2779" s="134">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09" t="str">
        <f>VLOOKUP(B2779,辅助信息!E:J,6,FALSE)</f>
        <v>现场要求调度统一联系指定收货人，不单独发司机位置。锈货不收，装货前联系收货人核实到场规格,没提前告知进场规格现场不给予接收</v>
      </c>
      <c r="O2779" s="62" t="str">
        <f ca="1" t="shared" si="165"/>
        <v/>
      </c>
      <c r="P2779" s="62"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0">
        <v>45885</v>
      </c>
      <c r="D2780" s="40" t="str">
        <f>VLOOKUP(B2780,辅助信息!E:K,7,FALSE)</f>
        <v>JWDD2025071500089</v>
      </c>
      <c r="E2780" s="40" t="str">
        <f>VLOOKUP(F2780,辅助信息!A:B,2,FALSE)</f>
        <v>螺纹钢</v>
      </c>
      <c r="F2780" s="36" t="s">
        <v>19</v>
      </c>
      <c r="G2780" s="36">
        <v>25</v>
      </c>
      <c r="H2780" s="134">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09" t="str">
        <f>VLOOKUP(B2780,辅助信息!E:J,6,FALSE)</f>
        <v>现场要求调度统一联系指定收货人，不单独发司机位置。锈货不收，装货前联系收货人核实到场规格,没提前告知进场规格现场不给予接收</v>
      </c>
      <c r="O2780" s="62" t="str">
        <f ca="1" t="shared" si="165"/>
        <v/>
      </c>
      <c r="P2780" s="62"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0">
        <v>45885</v>
      </c>
      <c r="D2781" s="40" t="str">
        <f>VLOOKUP(B2781,辅助信息!E:K,7,FALSE)</f>
        <v>JWDD2025071500089</v>
      </c>
      <c r="E2781" s="40" t="str">
        <f>VLOOKUP(F2781,辅助信息!A:B,2,FALSE)</f>
        <v>螺纹钢</v>
      </c>
      <c r="F2781" s="36" t="s">
        <v>30</v>
      </c>
      <c r="G2781" s="36">
        <v>10</v>
      </c>
      <c r="H2781" s="134">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09" t="str">
        <f>VLOOKUP(B2781,辅助信息!E:J,6,FALSE)</f>
        <v>现场要求调度统一联系指定收货人，不单独发司机位置。锈货不收，装货前联系收货人核实到场规格,没提前告知进场规格现场不给予接收</v>
      </c>
      <c r="O2781" s="62" t="str">
        <f ca="1" t="shared" ref="O2781:O2844" si="167">IF(OR(M2781="",N2781&lt;&gt;""),"",MAX(M2781-TODAY(),0))</f>
        <v/>
      </c>
      <c r="P2781" s="62"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0">
        <v>45885</v>
      </c>
      <c r="D2782" s="40" t="str">
        <f>VLOOKUP(B2782,辅助信息!E:K,7,FALSE)</f>
        <v>JWDD2025071500089</v>
      </c>
      <c r="E2782" s="40" t="str">
        <f>VLOOKUP(F2782,辅助信息!A:B,2,FALSE)</f>
        <v>螺纹钢</v>
      </c>
      <c r="F2782" s="36" t="s">
        <v>33</v>
      </c>
      <c r="G2782" s="36">
        <v>10</v>
      </c>
      <c r="H2782" s="134">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09" t="str">
        <f>VLOOKUP(B2782,辅助信息!E:J,6,FALSE)</f>
        <v>现场要求调度统一联系指定收货人，不单独发司机位置。锈货不收，装货前联系收货人核实到场规格,没提前告知进场规格现场不给予接收</v>
      </c>
      <c r="O2782" s="62" t="str">
        <f ca="1" t="shared" si="167"/>
        <v/>
      </c>
      <c r="P2782" s="62"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0">
        <v>45885</v>
      </c>
      <c r="D2783" s="40" t="str">
        <f>VLOOKUP(B2783,辅助信息!E:K,7,FALSE)</f>
        <v>JWDD2025071500089</v>
      </c>
      <c r="E2783" s="40" t="str">
        <f>VLOOKUP(F2783,辅助信息!A:B,2,FALSE)</f>
        <v>螺纹钢</v>
      </c>
      <c r="F2783" s="36" t="s">
        <v>28</v>
      </c>
      <c r="G2783" s="36">
        <v>10</v>
      </c>
      <c r="H2783" s="134">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09" t="str">
        <f>VLOOKUP(B2783,辅助信息!E:J,6,FALSE)</f>
        <v>现场要求调度统一联系指定收货人，不单独发司机位置。锈货不收，装货前联系收货人核实到场规格,没提前告知进场规格现场不给予接收</v>
      </c>
      <c r="O2783" s="62" t="str">
        <f ca="1" t="shared" si="167"/>
        <v/>
      </c>
      <c r="P2783" s="62"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0">
        <v>45885</v>
      </c>
      <c r="D2784" s="40" t="str">
        <f>VLOOKUP(B2784,辅助信息!E:K,7,FALSE)</f>
        <v>JWDD2025071500089</v>
      </c>
      <c r="E2784" s="40" t="str">
        <f>VLOOKUP(F2784,辅助信息!A:B,2,FALSE)</f>
        <v>螺纹钢</v>
      </c>
      <c r="F2784" s="36" t="s">
        <v>18</v>
      </c>
      <c r="G2784" s="36">
        <v>35</v>
      </c>
      <c r="H2784" s="134">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09" t="str">
        <f>VLOOKUP(B2784,辅助信息!E:J,6,FALSE)</f>
        <v>现场要求调度统一联系指定收货人，不单独发司机位置。锈货不收，装货前联系收货人核实到场规格,没提前告知进场规格现场不给予接收</v>
      </c>
      <c r="O2784" s="62" t="str">
        <f ca="1" t="shared" si="167"/>
        <v/>
      </c>
      <c r="P2784" s="62"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0">
        <v>45885</v>
      </c>
      <c r="D2785" s="40" t="str">
        <f>VLOOKUP(B2785,辅助信息!E:K,7,FALSE)</f>
        <v>JWDDCD2025072900121</v>
      </c>
      <c r="E2785" s="40" t="str">
        <f>VLOOKUP(F2785,辅助信息!A:B,2,FALSE)</f>
        <v>盘螺</v>
      </c>
      <c r="F2785" s="40" t="s">
        <v>49</v>
      </c>
      <c r="G2785" s="36">
        <v>2</v>
      </c>
      <c r="H2785" s="134">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09" t="str">
        <f>VLOOKUP(B2785,辅助信息!E:J,6,FALSE)</f>
        <v>联系实际收货人（范增云13668153241）现场要求炉批号控制2个以下，超2个不给予签收。提前联系到场规格及数量</v>
      </c>
      <c r="O2785" s="62" t="str">
        <f ca="1" t="shared" si="167"/>
        <v/>
      </c>
      <c r="P2785" s="62"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0">
        <v>45885</v>
      </c>
      <c r="D2786" s="40" t="str">
        <f>VLOOKUP(B2786,辅助信息!E:K,7,FALSE)</f>
        <v>JWDDCD2025072900121</v>
      </c>
      <c r="E2786" s="40" t="str">
        <f>VLOOKUP(F2786,辅助信息!A:B,2,FALSE)</f>
        <v>盘螺</v>
      </c>
      <c r="F2786" s="40" t="s">
        <v>41</v>
      </c>
      <c r="G2786" s="36">
        <v>15</v>
      </c>
      <c r="H2786" s="134">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09" t="str">
        <f>VLOOKUP(B2786,辅助信息!E:J,6,FALSE)</f>
        <v>联系实际收货人（范增云13668153241）现场要求炉批号控制2个以下，超2个不给予签收。提前联系到场规格及数量</v>
      </c>
      <c r="O2786" s="62" t="str">
        <f ca="1" t="shared" si="167"/>
        <v/>
      </c>
      <c r="P2786" s="62"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0">
        <v>45885</v>
      </c>
      <c r="D2787" s="40" t="str">
        <f>VLOOKUP(B2787,辅助信息!E:K,7,FALSE)</f>
        <v>JWDDCD2025072900121</v>
      </c>
      <c r="E2787" s="40" t="str">
        <f>VLOOKUP(F2787,辅助信息!A:B,2,FALSE)</f>
        <v>螺纹钢</v>
      </c>
      <c r="F2787" s="40" t="s">
        <v>27</v>
      </c>
      <c r="G2787" s="36">
        <v>6</v>
      </c>
      <c r="H2787" s="134">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09" t="str">
        <f>VLOOKUP(B2787,辅助信息!E:J,6,FALSE)</f>
        <v>联系实际收货人（范增云13668153241）现场要求炉批号控制2个以下，超2个不给予签收。提前联系到场规格及数量</v>
      </c>
      <c r="O2787" s="62" t="str">
        <f ca="1" t="shared" si="167"/>
        <v/>
      </c>
      <c r="P2787" s="62"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0">
        <v>45885</v>
      </c>
      <c r="D2788" s="40" t="str">
        <f>VLOOKUP(B2788,辅助信息!E:K,7,FALSE)</f>
        <v>JWDDCD2025072900121</v>
      </c>
      <c r="E2788" s="40" t="str">
        <f>VLOOKUP(F2788,辅助信息!A:B,2,FALSE)</f>
        <v>螺纹钢</v>
      </c>
      <c r="F2788" s="40" t="s">
        <v>19</v>
      </c>
      <c r="G2788" s="36">
        <v>5</v>
      </c>
      <c r="H2788" s="134">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09" t="str">
        <f>VLOOKUP(B2788,辅助信息!E:J,6,FALSE)</f>
        <v>联系实际收货人（范增云13668153241）现场要求炉批号控制2个以下，超2个不给予签收。提前联系到场规格及数量</v>
      </c>
      <c r="O2788" s="62" t="str">
        <f ca="1" t="shared" si="167"/>
        <v/>
      </c>
      <c r="P2788" s="62"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0">
        <v>45885</v>
      </c>
      <c r="D2789" s="40" t="str">
        <f>VLOOKUP(B2789,辅助信息!E:K,7,FALSE)</f>
        <v>JWDDCD2025072900121</v>
      </c>
      <c r="E2789" s="40" t="str">
        <f>VLOOKUP(F2789,辅助信息!A:B,2,FALSE)</f>
        <v>螺纹钢</v>
      </c>
      <c r="F2789" s="40" t="s">
        <v>66</v>
      </c>
      <c r="G2789" s="36">
        <v>6</v>
      </c>
      <c r="H2789" s="134">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09" t="str">
        <f>VLOOKUP(B2789,辅助信息!E:J,6,FALSE)</f>
        <v>联系实际收货人（范增云13668153241）现场要求炉批号控制2个以下，超2个不给予签收。提前联系到场规格及数量</v>
      </c>
      <c r="O2789" s="62" t="str">
        <f ca="1" t="shared" si="167"/>
        <v/>
      </c>
      <c r="P2789" s="62"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0">
        <v>45885</v>
      </c>
      <c r="D2790" s="40" t="str">
        <f>VLOOKUP(B2790,辅助信息!E:K,7,FALSE)</f>
        <v>JWDDCD2025072900121</v>
      </c>
      <c r="E2790" s="40" t="str">
        <f>VLOOKUP(F2790,辅助信息!A:B,2,FALSE)</f>
        <v>螺纹钢</v>
      </c>
      <c r="F2790" s="40" t="s">
        <v>82</v>
      </c>
      <c r="G2790" s="36">
        <v>2.5</v>
      </c>
      <c r="H2790" s="134">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09" t="str">
        <f>VLOOKUP(B2790,辅助信息!E:J,6,FALSE)</f>
        <v>联系实际收货人（范增云13668153241）现场要求炉批号控制2个以下，超2个不给予签收。提前联系到场规格及数量</v>
      </c>
      <c r="O2790" s="62" t="str">
        <f ca="1" t="shared" si="167"/>
        <v/>
      </c>
      <c r="P2790" s="62"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0">
        <v>45885</v>
      </c>
      <c r="D2791" s="40" t="str">
        <f>VLOOKUP(B2791,辅助信息!E:K,7,FALSE)</f>
        <v>JWDDCD2025072900121</v>
      </c>
      <c r="E2791" s="40" t="str">
        <f>VLOOKUP(F2791,辅助信息!A:B,2,FALSE)</f>
        <v>螺纹钢</v>
      </c>
      <c r="F2791" s="40" t="s">
        <v>45</v>
      </c>
      <c r="G2791" s="36">
        <v>2.5</v>
      </c>
      <c r="H2791" s="134">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09" t="str">
        <f>VLOOKUP(B2791,辅助信息!E:J,6,FALSE)</f>
        <v>联系实际收货人（范增云13668153241）现场要求炉批号控制2个以下，超2个不给予签收。提前联系到场规格及数量</v>
      </c>
      <c r="O2791" s="62" t="str">
        <f ca="1" t="shared" si="167"/>
        <v/>
      </c>
      <c r="P2791" s="62"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0">
        <v>45885</v>
      </c>
      <c r="D2792" s="40" t="str">
        <f>VLOOKUP(B2792,辅助信息!E:K,7,FALSE)</f>
        <v>JWDDCD2025072900121</v>
      </c>
      <c r="E2792" s="40" t="str">
        <f>VLOOKUP(F2792,辅助信息!A:B,2,FALSE)</f>
        <v>螺纹钢</v>
      </c>
      <c r="F2792" s="40" t="s">
        <v>21</v>
      </c>
      <c r="G2792" s="36">
        <v>2.5</v>
      </c>
      <c r="H2792" s="134">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09" t="str">
        <f>VLOOKUP(B2792,辅助信息!E:J,6,FALSE)</f>
        <v>联系实际收货人（范增云13668153241）现场要求炉批号控制2个以下，超2个不给予签收。提前联系到场规格及数量</v>
      </c>
      <c r="O2792" s="62" t="str">
        <f ca="1" t="shared" si="167"/>
        <v/>
      </c>
      <c r="P2792" s="62"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0">
        <v>45885</v>
      </c>
      <c r="D2793" s="40" t="str">
        <f>VLOOKUP(B2793,辅助信息!E:K,7,FALSE)</f>
        <v>JWDDCD2025072900121</v>
      </c>
      <c r="E2793" s="40" t="str">
        <f>VLOOKUP(F2793,辅助信息!A:B,2,FALSE)</f>
        <v>螺纹钢</v>
      </c>
      <c r="F2793" s="40" t="s">
        <v>58</v>
      </c>
      <c r="G2793" s="36">
        <v>25</v>
      </c>
      <c r="H2793" s="134">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09" t="str">
        <f>VLOOKUP(B2793,辅助信息!E:J,6,FALSE)</f>
        <v>联系实际收货人（范增云13668153241）现场要求炉批号控制2个以下，超2个不给予签收。提前联系到场规格及数量</v>
      </c>
      <c r="O2793" s="62" t="str">
        <f ca="1" t="shared" si="167"/>
        <v/>
      </c>
      <c r="P2793" s="62"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0">
        <v>45885</v>
      </c>
      <c r="D2794" s="40" t="str">
        <f>VLOOKUP(B2794,辅助信息!E:K,7,FALSE)</f>
        <v>JWDDCD2025072900121</v>
      </c>
      <c r="E2794" s="40" t="str">
        <f>VLOOKUP(F2794,辅助信息!A:B,2,FALSE)</f>
        <v>螺纹钢</v>
      </c>
      <c r="F2794" s="40" t="s">
        <v>46</v>
      </c>
      <c r="G2794" s="36">
        <v>3</v>
      </c>
      <c r="H2794" s="134">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09" t="str">
        <f>VLOOKUP(B2794,辅助信息!E:J,6,FALSE)</f>
        <v>联系实际收货人（范增云13668153241）现场要求炉批号控制2个以下，超2个不给予签收。提前联系到场规格及数量</v>
      </c>
      <c r="O2794" s="62" t="str">
        <f ca="1" t="shared" si="167"/>
        <v/>
      </c>
      <c r="P2794" s="62"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0">
        <v>45885</v>
      </c>
      <c r="D2795" s="40" t="str">
        <f>VLOOKUP(B2795,辅助信息!E:K,7,FALSE)</f>
        <v>JWDDCD2025072900121</v>
      </c>
      <c r="E2795" s="40" t="str">
        <f>VLOOKUP(F2795,辅助信息!A:B,2,FALSE)</f>
        <v>螺纹钢</v>
      </c>
      <c r="F2795" s="40" t="s">
        <v>141</v>
      </c>
      <c r="G2795" s="36">
        <v>3</v>
      </c>
      <c r="H2795" s="134">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09" t="str">
        <f>VLOOKUP(B2795,辅助信息!E:J,6,FALSE)</f>
        <v>联系实际收货人（范增云13668153241）现场要求炉批号控制2个以下，超2个不给予签收。提前联系到场规格及数量</v>
      </c>
      <c r="O2795" s="62" t="str">
        <f ca="1" t="shared" si="167"/>
        <v/>
      </c>
      <c r="P2795" s="62"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0">
        <v>45885</v>
      </c>
      <c r="D2796" s="40" t="str">
        <f>VLOOKUP(B2796,辅助信息!E:K,7,FALSE)</f>
        <v>JWDDCD2025072900121</v>
      </c>
      <c r="E2796" s="40" t="str">
        <f>VLOOKUP(F2796,辅助信息!A:B,2,FALSE)</f>
        <v>螺纹钢</v>
      </c>
      <c r="F2796" s="40" t="s">
        <v>22</v>
      </c>
      <c r="G2796" s="36">
        <v>18</v>
      </c>
      <c r="H2796" s="134">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09" t="str">
        <f>VLOOKUP(B2796,辅助信息!E:J,6,FALSE)</f>
        <v>联系实际收货人（范增云13668153241）现场要求炉批号控制2个以下，超2个不给予签收。提前联系到场规格及数量</v>
      </c>
      <c r="O2796" s="62" t="str">
        <f ca="1" t="shared" si="167"/>
        <v/>
      </c>
      <c r="P2796" s="62"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0">
        <v>45885</v>
      </c>
      <c r="D2797" s="40" t="str">
        <f>VLOOKUP(B2797,辅助信息!E:K,7,FALSE)</f>
        <v>JWDDCD2025072900121</v>
      </c>
      <c r="E2797" s="40" t="str">
        <f>VLOOKUP(F2797,辅助信息!A:B,2,FALSE)</f>
        <v>螺纹钢</v>
      </c>
      <c r="F2797" s="40" t="s">
        <v>142</v>
      </c>
      <c r="G2797" s="36">
        <v>9</v>
      </c>
      <c r="H2797" s="134">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09" t="str">
        <f>VLOOKUP(B2797,辅助信息!E:J,6,FALSE)</f>
        <v>联系实际收货人（范增云13668153241）现场要求炉批号控制2个以下，超2个不给予签收。提前联系到场规格及数量</v>
      </c>
      <c r="O2797" s="62" t="str">
        <f ca="1" t="shared" si="167"/>
        <v/>
      </c>
      <c r="P2797" s="62"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0">
        <v>45885</v>
      </c>
      <c r="D2798" s="40" t="str">
        <f>VLOOKUP(B2798,辅助信息!E:K,7,FALSE)</f>
        <v>JWDDCD2025072900121</v>
      </c>
      <c r="E2798" s="40" t="str">
        <f>VLOOKUP(F2798,辅助信息!A:B,2,FALSE)</f>
        <v>螺纹钢</v>
      </c>
      <c r="F2798" s="40" t="s">
        <v>200</v>
      </c>
      <c r="G2798" s="36">
        <v>30</v>
      </c>
      <c r="H2798" s="134">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09" t="str">
        <f>VLOOKUP(B2798,辅助信息!E:J,6,FALSE)</f>
        <v>联系实际收货人（范增云13668153241）现场要求炉批号控制2个以下，超2个不给予签收。提前联系到场规格及数量</v>
      </c>
      <c r="O2798" s="62" t="str">
        <f ca="1" t="shared" si="167"/>
        <v/>
      </c>
      <c r="P2798" s="62"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0">
        <v>45885</v>
      </c>
      <c r="D2799" s="40" t="str">
        <f>VLOOKUP(B2799,辅助信息!E:K,7,FALSE)</f>
        <v>JWDDCD2025072900121</v>
      </c>
      <c r="E2799" s="40" t="str">
        <f>VLOOKUP(F2799,辅助信息!A:B,2,FALSE)</f>
        <v>螺纹钢</v>
      </c>
      <c r="F2799" s="40" t="s">
        <v>201</v>
      </c>
      <c r="G2799" s="36">
        <v>12</v>
      </c>
      <c r="H2799" s="134">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09" t="str">
        <f>VLOOKUP(B2799,辅助信息!E:J,6,FALSE)</f>
        <v>联系实际收货人（范增云13668153241）现场要求炉批号控制2个以下，超2个不给予签收。提前联系到场规格及数量</v>
      </c>
      <c r="O2799" s="62" t="str">
        <f ca="1" t="shared" si="167"/>
        <v/>
      </c>
      <c r="P2799" s="62"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0">
        <v>45885</v>
      </c>
      <c r="D2800" s="40" t="str">
        <f>VLOOKUP(B2800,辅助信息!E:K,7,FALSE)</f>
        <v>JWDDCD2025060900080</v>
      </c>
      <c r="E2800" s="40" t="str">
        <f>VLOOKUP(F2800,辅助信息!A:B,2,FALSE)</f>
        <v>盘螺</v>
      </c>
      <c r="F2800" s="40" t="s">
        <v>41</v>
      </c>
      <c r="G2800" s="36">
        <v>10</v>
      </c>
      <c r="H2800" s="134"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09" t="str">
        <f>VLOOKUP(B2800,辅助信息!E:J,6,FALSE)</f>
        <v>现场禁止使用氢能源挂车！优先威钢发货,我方卸车,新老国标钢厂不加价可直发，因陕钢多次出现磅差，项目拒绝使用</v>
      </c>
      <c r="O2800" s="62" t="str">
        <f ca="1" t="shared" si="167"/>
        <v/>
      </c>
      <c r="P2800" s="62"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0">
        <v>45885</v>
      </c>
      <c r="D2801" s="40" t="str">
        <f>VLOOKUP(B2801,辅助信息!E:K,7,FALSE)</f>
        <v>JWDDCD2025060900080</v>
      </c>
      <c r="E2801" s="40" t="str">
        <f>VLOOKUP(F2801,辅助信息!A:B,2,FALSE)</f>
        <v>盘螺</v>
      </c>
      <c r="F2801" s="40" t="s">
        <v>26</v>
      </c>
      <c r="G2801" s="36">
        <v>10</v>
      </c>
      <c r="H2801" s="134"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09" t="str">
        <f>VLOOKUP(B2801,辅助信息!E:J,6,FALSE)</f>
        <v>现场禁止使用氢能源挂车！优先威钢发货,我方卸车,新老国标钢厂不加价可直发，因陕钢多次出现磅差，项目拒绝使用</v>
      </c>
      <c r="O2801" s="62" t="str">
        <f ca="1" t="shared" si="167"/>
        <v/>
      </c>
      <c r="P2801" s="62"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0">
        <v>45885</v>
      </c>
      <c r="D2802" s="40" t="str">
        <f>VLOOKUP(B2802,辅助信息!E:K,7,FALSE)</f>
        <v>JWDDCD2025060900080</v>
      </c>
      <c r="E2802" s="40" t="str">
        <f>VLOOKUP(F2802,辅助信息!A:B,2,FALSE)</f>
        <v>螺纹钢</v>
      </c>
      <c r="F2802" s="40" t="s">
        <v>18</v>
      </c>
      <c r="G2802" s="36">
        <v>15</v>
      </c>
      <c r="H2802" s="134"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09" t="str">
        <f>VLOOKUP(B2802,辅助信息!E:J,6,FALSE)</f>
        <v>现场禁止使用氢能源挂车！优先威钢发货,我方卸车,新老国标钢厂不加价可直发，因陕钢多次出现磅差，项目拒绝使用</v>
      </c>
      <c r="O2802" s="62" t="str">
        <f ca="1" t="shared" si="167"/>
        <v/>
      </c>
      <c r="P2802" s="62" t="str">
        <f ca="1" t="shared" si="168"/>
        <v/>
      </c>
      <c r="Q2802" s="29" t="str">
        <f>VLOOKUP(B2802,辅助信息!E:M,9,FALSE)</f>
        <v>ZTWM-CDGS-XS-2024-0030-华西集采-简州大道</v>
      </c>
      <c r="R2802" s="29" t="str">
        <f>_xlfn._xlws.FILTER(辅助信息!D:D,辅助信息!E:E=B2802)</f>
        <v>华西简阳西城嘉苑</v>
      </c>
    </row>
    <row r="2803" hidden="1" spans="1:18">
      <c r="A2803" s="57" t="s">
        <v>195</v>
      </c>
      <c r="B2803" s="135" t="s">
        <v>187</v>
      </c>
      <c r="C2803" s="70">
        <v>45887</v>
      </c>
      <c r="D2803" s="40" t="str">
        <f>VLOOKUP(B2803,辅助信息!E:K,7,FALSE)</f>
        <v>JWDDCD2025072900121</v>
      </c>
      <c r="E2803" s="40" t="str">
        <f>VLOOKUP(F2803,辅助信息!A:B,2,FALSE)</f>
        <v>螺纹钢</v>
      </c>
      <c r="F2803" s="40" t="s">
        <v>198</v>
      </c>
      <c r="G2803" s="36">
        <v>4</v>
      </c>
      <c r="H2803" s="134">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09" t="str">
        <f>VLOOKUP(B2803,辅助信息!E:J,6,FALSE)</f>
        <v>联系实际收货人（范增云13668153241）现场要求炉批号控制2个以下，超2个不给予签收。提前联系到场规格及数量</v>
      </c>
      <c r="O2803" s="62" t="str">
        <f ca="1" t="shared" si="167"/>
        <v/>
      </c>
      <c r="P2803" s="62"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5" t="s">
        <v>187</v>
      </c>
      <c r="C2804" s="70">
        <v>45887</v>
      </c>
      <c r="D2804" s="40" t="str">
        <f>VLOOKUP(B2804,辅助信息!E:K,7,FALSE)</f>
        <v>JWDDCD2025072900121</v>
      </c>
      <c r="E2804" s="40" t="str">
        <f>VLOOKUP(F2804,辅助信息!A:B,2,FALSE)</f>
        <v>螺纹钢</v>
      </c>
      <c r="F2804" s="40" t="s">
        <v>199</v>
      </c>
      <c r="G2804" s="36">
        <v>6</v>
      </c>
      <c r="H2804" s="134">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09" t="str">
        <f>VLOOKUP(B2804,辅助信息!E:J,6,FALSE)</f>
        <v>联系实际收货人（范增云13668153241）现场要求炉批号控制2个以下，超2个不给予签收。提前联系到场规格及数量</v>
      </c>
      <c r="O2804" s="62" t="str">
        <f ca="1" t="shared" si="167"/>
        <v/>
      </c>
      <c r="P2804" s="62"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5" t="s">
        <v>187</v>
      </c>
      <c r="C2805" s="70">
        <v>45887</v>
      </c>
      <c r="D2805" s="40" t="str">
        <f>VLOOKUP(B2805,辅助信息!E:K,7,FALSE)</f>
        <v>JWDDCD2025072900121</v>
      </c>
      <c r="E2805" s="40" t="str">
        <f>VLOOKUP(F2805,辅助信息!A:B,2,FALSE)</f>
        <v>螺纹钢</v>
      </c>
      <c r="F2805" s="40" t="s">
        <v>141</v>
      </c>
      <c r="G2805" s="36">
        <v>6</v>
      </c>
      <c r="H2805" s="134">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09" t="str">
        <f>VLOOKUP(B2805,辅助信息!E:J,6,FALSE)</f>
        <v>联系实际收货人（范增云13668153241）现场要求炉批号控制2个以下，超2个不给予签收。提前联系到场规格及数量</v>
      </c>
      <c r="O2805" s="62" t="str">
        <f ca="1" t="shared" si="167"/>
        <v/>
      </c>
      <c r="P2805" s="62"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5" t="s">
        <v>187</v>
      </c>
      <c r="C2806" s="70">
        <v>45887</v>
      </c>
      <c r="D2806" s="40" t="str">
        <f>VLOOKUP(B2806,辅助信息!E:K,7,FALSE)</f>
        <v>JWDDCD2025072900121</v>
      </c>
      <c r="E2806" s="40" t="str">
        <f>VLOOKUP(F2806,辅助信息!A:B,2,FALSE)</f>
        <v>螺纹钢</v>
      </c>
      <c r="F2806" s="40" t="s">
        <v>142</v>
      </c>
      <c r="G2806" s="36">
        <v>22</v>
      </c>
      <c r="H2806" s="134">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09" t="str">
        <f>VLOOKUP(B2806,辅助信息!E:J,6,FALSE)</f>
        <v>联系实际收货人（范增云13668153241）现场要求炉批号控制2个以下，超2个不给予签收。提前联系到场规格及数量</v>
      </c>
      <c r="O2806" s="62" t="str">
        <f ca="1" t="shared" si="167"/>
        <v/>
      </c>
      <c r="P2806" s="62"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5" t="s">
        <v>187</v>
      </c>
      <c r="C2807" s="70">
        <v>45887</v>
      </c>
      <c r="D2807" s="40" t="str">
        <f>VLOOKUP(B2807,辅助信息!E:K,7,FALSE)</f>
        <v>JWDDCD2025072900121</v>
      </c>
      <c r="E2807" s="40" t="str">
        <f>VLOOKUP(F2807,辅助信息!A:B,2,FALSE)</f>
        <v>螺纹钢</v>
      </c>
      <c r="F2807" s="40" t="s">
        <v>200</v>
      </c>
      <c r="G2807" s="36">
        <v>10</v>
      </c>
      <c r="H2807" s="134"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09" t="str">
        <f>VLOOKUP(B2807,辅助信息!E:J,6,FALSE)</f>
        <v>联系实际收货人（范增云13668153241）现场要求炉批号控制2个以下，超2个不给予签收。提前联系到场规格及数量</v>
      </c>
      <c r="O2807" s="62" t="str">
        <f ca="1" t="shared" si="167"/>
        <v/>
      </c>
      <c r="P2807" s="62"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5" t="s">
        <v>187</v>
      </c>
      <c r="C2808" s="70">
        <v>45887</v>
      </c>
      <c r="D2808" s="40" t="str">
        <f>VLOOKUP(B2808,辅助信息!E:K,7,FALSE)</f>
        <v>JWDDCD2025072900121</v>
      </c>
      <c r="E2808" s="40" t="str">
        <f>VLOOKUP(F2808,辅助信息!A:B,2,FALSE)</f>
        <v>螺纹钢</v>
      </c>
      <c r="F2808" s="40" t="s">
        <v>201</v>
      </c>
      <c r="G2808" s="36">
        <v>16</v>
      </c>
      <c r="H2808" s="134">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09" t="str">
        <f>VLOOKUP(B2808,辅助信息!E:J,6,FALSE)</f>
        <v>联系实际收货人（范增云13668153241）现场要求炉批号控制2个以下，超2个不给予签收。提前联系到场规格及数量</v>
      </c>
      <c r="O2808" s="62" t="str">
        <f ca="1" t="shared" si="167"/>
        <v/>
      </c>
      <c r="P2808" s="62"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5" t="s">
        <v>186</v>
      </c>
      <c r="C2809" s="70">
        <v>45887</v>
      </c>
      <c r="D2809" s="40" t="str">
        <f>VLOOKUP(B2809,辅助信息!E:K,7,FALSE)</f>
        <v>JWDDCD2025072900123</v>
      </c>
      <c r="E2809" s="40" t="str">
        <f>VLOOKUP(F2809,辅助信息!A:B,2,FALSE)</f>
        <v>盘螺</v>
      </c>
      <c r="F2809" s="40" t="s">
        <v>49</v>
      </c>
      <c r="G2809" s="36">
        <v>2</v>
      </c>
      <c r="H2809" s="134">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09" t="str">
        <f>VLOOKUP(B2809,辅助信息!E:J,6,FALSE)</f>
        <v>联系实际收货人（彭江涛13990276572）现场要求炉批号控制2个以下，超2个不给予签收。提前联系到场规格及数量</v>
      </c>
      <c r="O2809" s="62" t="str">
        <f ca="1" t="shared" si="167"/>
        <v/>
      </c>
      <c r="P2809" s="62"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5" t="s">
        <v>186</v>
      </c>
      <c r="C2810" s="70">
        <v>45887</v>
      </c>
      <c r="D2810" s="40" t="str">
        <f>VLOOKUP(B2810,辅助信息!E:K,7,FALSE)</f>
        <v>JWDDCD2025072900123</v>
      </c>
      <c r="E2810" s="40" t="str">
        <f>VLOOKUP(F2810,辅助信息!A:B,2,FALSE)</f>
        <v>盘螺</v>
      </c>
      <c r="F2810" s="40" t="s">
        <v>40</v>
      </c>
      <c r="G2810" s="36">
        <v>12</v>
      </c>
      <c r="H2810" s="134">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09" t="str">
        <f>VLOOKUP(B2810,辅助信息!E:J,6,FALSE)</f>
        <v>联系实际收货人（彭江涛13990276572）现场要求炉批号控制2个以下，超2个不给予签收。提前联系到场规格及数量</v>
      </c>
      <c r="O2810" s="62" t="str">
        <f ca="1" t="shared" si="167"/>
        <v/>
      </c>
      <c r="P2810" s="62"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5" t="s">
        <v>186</v>
      </c>
      <c r="C2811" s="70">
        <v>45887</v>
      </c>
      <c r="D2811" s="40" t="str">
        <f>VLOOKUP(B2811,辅助信息!E:K,7,FALSE)</f>
        <v>JWDDCD2025072900123</v>
      </c>
      <c r="E2811" s="40" t="str">
        <f>VLOOKUP(F2811,辅助信息!A:B,2,FALSE)</f>
        <v>盘螺</v>
      </c>
      <c r="F2811" s="40" t="s">
        <v>41</v>
      </c>
      <c r="G2811" s="36">
        <v>7</v>
      </c>
      <c r="H2811" s="134">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09" t="str">
        <f>VLOOKUP(B2811,辅助信息!E:J,6,FALSE)</f>
        <v>联系实际收货人（彭江涛13990276572）现场要求炉批号控制2个以下，超2个不给予签收。提前联系到场规格及数量</v>
      </c>
      <c r="O2811" s="62" t="str">
        <f ca="1" t="shared" si="167"/>
        <v/>
      </c>
      <c r="P2811" s="62"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5" t="s">
        <v>186</v>
      </c>
      <c r="C2812" s="70">
        <v>45887</v>
      </c>
      <c r="D2812" s="40" t="str">
        <f>VLOOKUP(B2812,辅助信息!E:K,7,FALSE)</f>
        <v>JWDDCD2025072900123</v>
      </c>
      <c r="E2812" s="40" t="str">
        <f>VLOOKUP(F2812,辅助信息!A:B,2,FALSE)</f>
        <v>盘螺</v>
      </c>
      <c r="F2812" s="40" t="s">
        <v>26</v>
      </c>
      <c r="G2812" s="36">
        <v>2</v>
      </c>
      <c r="H2812" s="134">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09" t="str">
        <f>VLOOKUP(B2812,辅助信息!E:J,6,FALSE)</f>
        <v>联系实际收货人（彭江涛13990276572）现场要求炉批号控制2个以下，超2个不给予签收。提前联系到场规格及数量</v>
      </c>
      <c r="O2812" s="62" t="str">
        <f ca="1" t="shared" si="167"/>
        <v/>
      </c>
      <c r="P2812" s="62"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5" t="s">
        <v>186</v>
      </c>
      <c r="C2813" s="70">
        <v>45887</v>
      </c>
      <c r="D2813" s="40" t="str">
        <f>VLOOKUP(B2813,辅助信息!E:K,7,FALSE)</f>
        <v>JWDDCD2025072900123</v>
      </c>
      <c r="E2813" s="40" t="str">
        <f>VLOOKUP(F2813,辅助信息!A:B,2,FALSE)</f>
        <v>螺纹钢</v>
      </c>
      <c r="F2813" s="40" t="s">
        <v>76</v>
      </c>
      <c r="G2813" s="36">
        <v>3</v>
      </c>
      <c r="H2813" s="134">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09" t="str">
        <f>VLOOKUP(B2813,辅助信息!E:J,6,FALSE)</f>
        <v>联系实际收货人（彭江涛13990276572）现场要求炉批号控制2个以下，超2个不给予签收。提前联系到场规格及数量</v>
      </c>
      <c r="O2813" s="62" t="str">
        <f ca="1" t="shared" si="167"/>
        <v/>
      </c>
      <c r="P2813" s="62"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5" t="s">
        <v>186</v>
      </c>
      <c r="C2814" s="70">
        <v>45887</v>
      </c>
      <c r="D2814" s="40" t="str">
        <f>VLOOKUP(B2814,辅助信息!E:K,7,FALSE)</f>
        <v>JWDDCD2025072900123</v>
      </c>
      <c r="E2814" s="40" t="str">
        <f>VLOOKUP(F2814,辅助信息!A:B,2,FALSE)</f>
        <v>螺纹钢</v>
      </c>
      <c r="F2814" s="40" t="s">
        <v>90</v>
      </c>
      <c r="G2814" s="36">
        <v>50</v>
      </c>
      <c r="H2814" s="134">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09" t="str">
        <f>VLOOKUP(B2814,辅助信息!E:J,6,FALSE)</f>
        <v>联系实际收货人（彭江涛13990276572）现场要求炉批号控制2个以下，超2个不给予签收。提前联系到场规格及数量</v>
      </c>
      <c r="O2814" s="62" t="str">
        <f ca="1" t="shared" si="167"/>
        <v/>
      </c>
      <c r="P2814" s="62"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5" t="s">
        <v>186</v>
      </c>
      <c r="C2815" s="70">
        <v>45887</v>
      </c>
      <c r="D2815" s="40" t="str">
        <f>VLOOKUP(B2815,辅助信息!E:K,7,FALSE)</f>
        <v>JWDDCD2025072900123</v>
      </c>
      <c r="E2815" s="40" t="str">
        <f>VLOOKUP(F2815,辅助信息!A:B,2,FALSE)</f>
        <v>螺纹钢</v>
      </c>
      <c r="F2815" s="40" t="s">
        <v>130</v>
      </c>
      <c r="G2815" s="36">
        <v>10</v>
      </c>
      <c r="H2815" s="134">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09" t="str">
        <f>VLOOKUP(B2815,辅助信息!E:J,6,FALSE)</f>
        <v>联系实际收货人（彭江涛13990276572）现场要求炉批号控制2个以下，超2个不给予签收。提前联系到场规格及数量</v>
      </c>
      <c r="O2815" s="62" t="str">
        <f ca="1" t="shared" si="167"/>
        <v/>
      </c>
      <c r="P2815" s="62"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5" t="s">
        <v>186</v>
      </c>
      <c r="C2816" s="70">
        <v>45887</v>
      </c>
      <c r="D2816" s="40" t="str">
        <f>VLOOKUP(B2816,辅助信息!E:K,7,FALSE)</f>
        <v>JWDDCD2025072900123</v>
      </c>
      <c r="E2816" s="40" t="str">
        <f>VLOOKUP(F2816,辅助信息!A:B,2,FALSE)</f>
        <v>螺纹钢</v>
      </c>
      <c r="F2816" s="40" t="s">
        <v>138</v>
      </c>
      <c r="G2816" s="36">
        <v>10</v>
      </c>
      <c r="H2816" s="134">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09" t="str">
        <f>VLOOKUP(B2816,辅助信息!E:J,6,FALSE)</f>
        <v>联系实际收货人（彭江涛13990276572）现场要求炉批号控制2个以下，超2个不给予签收。提前联系到场规格及数量</v>
      </c>
      <c r="O2816" s="62" t="str">
        <f ca="1" t="shared" si="167"/>
        <v/>
      </c>
      <c r="P2816" s="62"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5" t="s">
        <v>186</v>
      </c>
      <c r="C2817" s="70">
        <v>45887</v>
      </c>
      <c r="D2817" s="40" t="str">
        <f>VLOOKUP(B2817,辅助信息!E:K,7,FALSE)</f>
        <v>JWDDCD2025072900123</v>
      </c>
      <c r="E2817" s="40" t="str">
        <f>VLOOKUP(F2817,辅助信息!A:B,2,FALSE)</f>
        <v>螺纹钢</v>
      </c>
      <c r="F2817" s="40" t="s">
        <v>133</v>
      </c>
      <c r="G2817" s="36">
        <v>23</v>
      </c>
      <c r="H2817" s="134">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09" t="str">
        <f>VLOOKUP(B2817,辅助信息!E:J,6,FALSE)</f>
        <v>联系实际收货人（彭江涛13990276572）现场要求炉批号控制2个以下，超2个不给予签收。提前联系到场规格及数量</v>
      </c>
      <c r="O2817" s="62" t="str">
        <f ca="1" t="shared" si="167"/>
        <v/>
      </c>
      <c r="P2817" s="62"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5" t="s">
        <v>186</v>
      </c>
      <c r="C2818" s="70">
        <v>45887</v>
      </c>
      <c r="D2818" s="40" t="str">
        <f>VLOOKUP(B2818,辅助信息!E:K,7,FALSE)</f>
        <v>JWDDCD2025072900123</v>
      </c>
      <c r="E2818" s="40" t="str">
        <f>VLOOKUP(F2818,辅助信息!A:B,2,FALSE)</f>
        <v>螺纹钢</v>
      </c>
      <c r="F2818" s="40" t="s">
        <v>91</v>
      </c>
      <c r="G2818" s="36">
        <v>15</v>
      </c>
      <c r="H2818" s="134">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09" t="str">
        <f>VLOOKUP(B2818,辅助信息!E:J,6,FALSE)</f>
        <v>联系实际收货人（彭江涛13990276572）现场要求炉批号控制2个以下，超2个不给予签收。提前联系到场规格及数量</v>
      </c>
      <c r="O2818" s="62" t="str">
        <f ca="1" t="shared" si="167"/>
        <v/>
      </c>
      <c r="P2818" s="62"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5" t="s">
        <v>186</v>
      </c>
      <c r="C2819" s="70">
        <v>45887</v>
      </c>
      <c r="D2819" s="40" t="str">
        <f>VLOOKUP(B2819,辅助信息!E:K,7,FALSE)</f>
        <v>JWDDCD2025072900123</v>
      </c>
      <c r="E2819" s="40" t="str">
        <f>VLOOKUP(F2819,辅助信息!A:B,2,FALSE)</f>
        <v>螺纹钢</v>
      </c>
      <c r="F2819" s="40" t="s">
        <v>205</v>
      </c>
      <c r="G2819" s="36">
        <v>7</v>
      </c>
      <c r="H2819" s="134">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09" t="str">
        <f>VLOOKUP(B2819,辅助信息!E:J,6,FALSE)</f>
        <v>联系实际收货人（彭江涛13990276572）现场要求炉批号控制2个以下，超2个不给予签收。提前联系到场规格及数量</v>
      </c>
      <c r="O2819" s="62" t="str">
        <f ca="1" t="shared" si="167"/>
        <v/>
      </c>
      <c r="P2819" s="62"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5" t="s">
        <v>186</v>
      </c>
      <c r="C2820" s="70">
        <v>45887</v>
      </c>
      <c r="D2820" s="40" t="str">
        <f>VLOOKUP(B2820,辅助信息!E:K,7,FALSE)</f>
        <v>JWDDCD2025072900123</v>
      </c>
      <c r="E2820" s="40" t="str">
        <f>VLOOKUP(F2820,辅助信息!A:B,2,FALSE)</f>
        <v>螺纹钢</v>
      </c>
      <c r="F2820" s="40" t="s">
        <v>140</v>
      </c>
      <c r="G2820" s="36">
        <v>3</v>
      </c>
      <c r="H2820" s="134">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09" t="str">
        <f>VLOOKUP(B2820,辅助信息!E:J,6,FALSE)</f>
        <v>联系实际收货人（彭江涛13990276572）现场要求炉批号控制2个以下，超2个不给予签收。提前联系到场规格及数量</v>
      </c>
      <c r="O2820" s="62" t="str">
        <f ca="1" t="shared" si="167"/>
        <v/>
      </c>
      <c r="P2820" s="62"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5" t="s">
        <v>186</v>
      </c>
      <c r="C2821" s="70">
        <v>45887</v>
      </c>
      <c r="D2821" s="40" t="str">
        <f>VLOOKUP(B2821,辅助信息!E:K,7,FALSE)</f>
        <v>JWDDCD2025072900123</v>
      </c>
      <c r="E2821" s="40" t="str">
        <f>VLOOKUP(F2821,辅助信息!A:B,2,FALSE)</f>
        <v>螺纹钢</v>
      </c>
      <c r="F2821" s="40" t="s">
        <v>197</v>
      </c>
      <c r="G2821" s="36">
        <v>3</v>
      </c>
      <c r="H2821" s="134">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09" t="str">
        <f>VLOOKUP(B2821,辅助信息!E:J,6,FALSE)</f>
        <v>联系实际收货人（彭江涛13990276572）现场要求炉批号控制2个以下，超2个不给予签收。提前联系到场规格及数量</v>
      </c>
      <c r="O2821" s="62" t="str">
        <f ca="1" t="shared" si="167"/>
        <v/>
      </c>
      <c r="P2821" s="62"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5" t="s">
        <v>186</v>
      </c>
      <c r="C2822" s="70">
        <v>45887</v>
      </c>
      <c r="D2822" s="40" t="str">
        <f>VLOOKUP(B2822,辅助信息!E:K,7,FALSE)</f>
        <v>JWDDCD2025072900123</v>
      </c>
      <c r="E2822" s="40" t="str">
        <f>VLOOKUP(F2822,辅助信息!A:B,2,FALSE)</f>
        <v>螺纹钢</v>
      </c>
      <c r="F2822" s="40" t="s">
        <v>198</v>
      </c>
      <c r="G2822" s="36">
        <v>3</v>
      </c>
      <c r="H2822" s="134">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09" t="str">
        <f>VLOOKUP(B2822,辅助信息!E:J,6,FALSE)</f>
        <v>联系实际收货人（彭江涛13990276572）现场要求炉批号控制2个以下，超2个不给予签收。提前联系到场规格及数量</v>
      </c>
      <c r="O2822" s="62" t="str">
        <f ca="1" t="shared" si="167"/>
        <v/>
      </c>
      <c r="P2822" s="62"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5" t="s">
        <v>186</v>
      </c>
      <c r="C2823" s="70">
        <v>45887</v>
      </c>
      <c r="D2823" s="40" t="str">
        <f>VLOOKUP(B2823,辅助信息!E:K,7,FALSE)</f>
        <v>JWDDCD2025072900123</v>
      </c>
      <c r="E2823" s="40" t="str">
        <f>VLOOKUP(F2823,辅助信息!A:B,2,FALSE)</f>
        <v>螺纹钢</v>
      </c>
      <c r="F2823" s="40" t="s">
        <v>199</v>
      </c>
      <c r="G2823" s="36">
        <v>7</v>
      </c>
      <c r="H2823" s="134">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09" t="str">
        <f>VLOOKUP(B2823,辅助信息!E:J,6,FALSE)</f>
        <v>联系实际收货人（彭江涛13990276572）现场要求炉批号控制2个以下，超2个不给予签收。提前联系到场规格及数量</v>
      </c>
      <c r="O2823" s="62" t="str">
        <f ca="1" t="shared" si="167"/>
        <v/>
      </c>
      <c r="P2823" s="62"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5" t="s">
        <v>186</v>
      </c>
      <c r="C2824" s="70">
        <v>45887</v>
      </c>
      <c r="D2824" s="40" t="str">
        <f>VLOOKUP(B2824,辅助信息!E:K,7,FALSE)</f>
        <v>JWDDCD2025072900123</v>
      </c>
      <c r="E2824" s="40" t="str">
        <f>VLOOKUP(F2824,辅助信息!A:B,2,FALSE)</f>
        <v>螺纹钢</v>
      </c>
      <c r="F2824" s="40" t="s">
        <v>141</v>
      </c>
      <c r="G2824" s="36">
        <v>13</v>
      </c>
      <c r="H2824" s="134">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09" t="str">
        <f>VLOOKUP(B2824,辅助信息!E:J,6,FALSE)</f>
        <v>联系实际收货人（彭江涛13990276572）现场要求炉批号控制2个以下，超2个不给予签收。提前联系到场规格及数量</v>
      </c>
      <c r="O2824" s="62" t="str">
        <f ca="1" t="shared" si="167"/>
        <v/>
      </c>
      <c r="P2824" s="62"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5" t="s">
        <v>186</v>
      </c>
      <c r="C2825" s="70">
        <v>45887</v>
      </c>
      <c r="D2825" s="40" t="str">
        <f>VLOOKUP(B2825,辅助信息!E:K,7,FALSE)</f>
        <v>JWDDCD2025072900123</v>
      </c>
      <c r="E2825" s="40" t="str">
        <f>VLOOKUP(F2825,辅助信息!A:B,2,FALSE)</f>
        <v>螺纹钢</v>
      </c>
      <c r="F2825" s="40" t="s">
        <v>142</v>
      </c>
      <c r="G2825" s="36">
        <v>35</v>
      </c>
      <c r="H2825" s="134">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09" t="str">
        <f>VLOOKUP(B2825,辅助信息!E:J,6,FALSE)</f>
        <v>联系实际收货人（彭江涛13990276572）现场要求炉批号控制2个以下，超2个不给予签收。提前联系到场规格及数量</v>
      </c>
      <c r="O2825" s="62" t="str">
        <f ca="1" t="shared" si="167"/>
        <v/>
      </c>
      <c r="P2825" s="62"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0">
        <v>45887</v>
      </c>
      <c r="D2826" s="40" t="str">
        <f>VLOOKUP(B2826,辅助信息!E:K,7,FALSE)</f>
        <v>JWDDCD2025052800131</v>
      </c>
      <c r="E2826" s="40" t="str">
        <f>VLOOKUP(F2826,辅助信息!A:B,2,FALSE)</f>
        <v>盘螺</v>
      </c>
      <c r="F2826" s="40" t="s">
        <v>49</v>
      </c>
      <c r="G2826" s="36">
        <v>3</v>
      </c>
      <c r="H2826" s="134">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09" t="str">
        <f>VLOOKUP(B2826,辅助信息!E:J,6,FALSE)</f>
        <v>控制炉批号！多了现场不收！,优先安排达钢,提前联系到场规格及数量</v>
      </c>
      <c r="O2826" s="62" t="str">
        <f ca="1" t="shared" si="167"/>
        <v/>
      </c>
      <c r="P2826" s="62"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0">
        <v>45887</v>
      </c>
      <c r="D2827" s="40" t="str">
        <f>VLOOKUP(B2827,辅助信息!E:K,7,FALSE)</f>
        <v>JWDDCD2025052800131</v>
      </c>
      <c r="E2827" s="40" t="str">
        <f>VLOOKUP(F2827,辅助信息!A:B,2,FALSE)</f>
        <v>盘螺</v>
      </c>
      <c r="F2827" s="40" t="s">
        <v>40</v>
      </c>
      <c r="G2827" s="36">
        <v>12</v>
      </c>
      <c r="H2827" s="134">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09" t="str">
        <f>VLOOKUP(B2827,辅助信息!E:J,6,FALSE)</f>
        <v>控制炉批号！多了现场不收！,优先安排达钢,提前联系到场规格及数量</v>
      </c>
      <c r="O2827" s="62" t="str">
        <f ca="1" t="shared" si="167"/>
        <v/>
      </c>
      <c r="P2827" s="62"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0">
        <v>45887</v>
      </c>
      <c r="D2828" s="40" t="str">
        <f>VLOOKUP(B2828,辅助信息!E:K,7,FALSE)</f>
        <v>JWDDCD2025052800131</v>
      </c>
      <c r="E2828" s="40" t="str">
        <f>VLOOKUP(F2828,辅助信息!A:B,2,FALSE)</f>
        <v>盘螺</v>
      </c>
      <c r="F2828" s="40" t="s">
        <v>41</v>
      </c>
      <c r="G2828" s="36">
        <v>10</v>
      </c>
      <c r="H2828" s="134">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09" t="str">
        <f>VLOOKUP(B2828,辅助信息!E:J,6,FALSE)</f>
        <v>控制炉批号！多了现场不收！,优先安排达钢,提前联系到场规格及数量</v>
      </c>
      <c r="O2828" s="62" t="str">
        <f ca="1" t="shared" si="167"/>
        <v/>
      </c>
      <c r="P2828" s="62"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0">
        <v>45887</v>
      </c>
      <c r="D2829" s="40" t="str">
        <f>VLOOKUP(B2829,辅助信息!E:K,7,FALSE)</f>
        <v>JWDDCD2025052800131</v>
      </c>
      <c r="E2829" s="40" t="str">
        <f>VLOOKUP(F2829,辅助信息!A:B,2,FALSE)</f>
        <v>螺纹钢</v>
      </c>
      <c r="F2829" s="40" t="s">
        <v>27</v>
      </c>
      <c r="G2829" s="36">
        <v>6</v>
      </c>
      <c r="H2829" s="134">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09" t="str">
        <f>VLOOKUP(B2829,辅助信息!E:J,6,FALSE)</f>
        <v>控制炉批号！多了现场不收！,优先安排达钢,提前联系到场规格及数量</v>
      </c>
      <c r="O2829" s="62" t="str">
        <f ca="1" t="shared" si="167"/>
        <v/>
      </c>
      <c r="P2829" s="62"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0">
        <v>45887</v>
      </c>
      <c r="D2830" s="40" t="str">
        <f>VLOOKUP(B2830,辅助信息!E:K,7,FALSE)</f>
        <v>JWDDCD2025052800131</v>
      </c>
      <c r="E2830" s="40" t="str">
        <f>VLOOKUP(F2830,辅助信息!A:B,2,FALSE)</f>
        <v>螺纹钢</v>
      </c>
      <c r="F2830" s="40" t="s">
        <v>19</v>
      </c>
      <c r="G2830" s="36">
        <v>27</v>
      </c>
      <c r="H2830" s="134">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09" t="str">
        <f>VLOOKUP(B2830,辅助信息!E:J,6,FALSE)</f>
        <v>控制炉批号！多了现场不收！,优先安排达钢,提前联系到场规格及数量</v>
      </c>
      <c r="O2830" s="62" t="str">
        <f ca="1" t="shared" si="167"/>
        <v/>
      </c>
      <c r="P2830" s="62"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0">
        <v>45887</v>
      </c>
      <c r="D2831" s="40" t="str">
        <f>VLOOKUP(B2831,辅助信息!E:K,7,FALSE)</f>
        <v>JWDDCD2025052800131</v>
      </c>
      <c r="E2831" s="40" t="str">
        <f>VLOOKUP(F2831,辅助信息!A:B,2,FALSE)</f>
        <v>螺纹钢</v>
      </c>
      <c r="F2831" s="40" t="s">
        <v>32</v>
      </c>
      <c r="G2831" s="36">
        <v>15</v>
      </c>
      <c r="H2831" s="134">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09" t="str">
        <f>VLOOKUP(B2831,辅助信息!E:J,6,FALSE)</f>
        <v>控制炉批号！多了现场不收！,优先安排达钢,提前联系到场规格及数量</v>
      </c>
      <c r="O2831" s="62" t="str">
        <f ca="1" t="shared" si="167"/>
        <v/>
      </c>
      <c r="P2831" s="62"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0">
        <v>45887</v>
      </c>
      <c r="D2832" s="40" t="str">
        <f>VLOOKUP(B2832,辅助信息!E:K,7,FALSE)</f>
        <v>JWDDCD2025052800131</v>
      </c>
      <c r="E2832" s="40" t="str">
        <f>VLOOKUP(F2832,辅助信息!A:B,2,FALSE)</f>
        <v>螺纹钢</v>
      </c>
      <c r="F2832" s="40" t="s">
        <v>28</v>
      </c>
      <c r="G2832" s="36">
        <v>30</v>
      </c>
      <c r="H2832" s="134">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09" t="str">
        <f>VLOOKUP(B2832,辅助信息!E:J,6,FALSE)</f>
        <v>控制炉批号！多了现场不收！,优先安排达钢,提前联系到场规格及数量</v>
      </c>
      <c r="O2832" s="62" t="str">
        <f ca="1" t="shared" si="167"/>
        <v/>
      </c>
      <c r="P2832" s="62"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0">
        <v>45887</v>
      </c>
      <c r="D2833" s="40" t="str">
        <f>VLOOKUP(B2833,辅助信息!E:K,7,FALSE)</f>
        <v>JWDDCD2025052800131</v>
      </c>
      <c r="E2833" s="40" t="str">
        <f>VLOOKUP(F2833,辅助信息!A:B,2,FALSE)</f>
        <v>螺纹钢</v>
      </c>
      <c r="F2833" s="40" t="s">
        <v>18</v>
      </c>
      <c r="G2833" s="36">
        <v>15</v>
      </c>
      <c r="H2833" s="134">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09" t="str">
        <f>VLOOKUP(B2833,辅助信息!E:J,6,FALSE)</f>
        <v>控制炉批号！多了现场不收！,优先安排达钢,提前联系到场规格及数量</v>
      </c>
      <c r="O2833" s="62" t="str">
        <f ca="1" t="shared" si="167"/>
        <v/>
      </c>
      <c r="P2833" s="62"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0">
        <v>45887</v>
      </c>
      <c r="D2834" s="40" t="str">
        <f>VLOOKUP(B2834,辅助信息!E:K,7,FALSE)</f>
        <v>JWDDCD2025072900123</v>
      </c>
      <c r="E2834" s="40" t="str">
        <f>VLOOKUP(F2834,辅助信息!A:B,2,FALSE)</f>
        <v>盘螺</v>
      </c>
      <c r="F2834" s="40" t="s">
        <v>40</v>
      </c>
      <c r="G2834" s="36">
        <v>67</v>
      </c>
      <c r="H2834" s="134">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09" t="str">
        <f>VLOOKUP(B2834,辅助信息!E:J,6,FALSE)</f>
        <v>联系实际收货人（彭江涛13990276572）现场要求炉批号控制2个以下，超2个不给予签收。提前联系到场规格及数量</v>
      </c>
      <c r="O2834" s="62" t="str">
        <f ca="1" t="shared" si="167"/>
        <v/>
      </c>
      <c r="P2834" s="62"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0">
        <v>45887</v>
      </c>
      <c r="D2835" s="40" t="str">
        <f>VLOOKUP(B2835,辅助信息!E:K,7,FALSE)</f>
        <v>JWDDCD2025072900123</v>
      </c>
      <c r="E2835" s="40" t="str">
        <f>VLOOKUP(F2835,辅助信息!A:B,2,FALSE)</f>
        <v>盘螺</v>
      </c>
      <c r="F2835" s="40" t="s">
        <v>41</v>
      </c>
      <c r="G2835" s="36">
        <v>98</v>
      </c>
      <c r="H2835" s="134">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09" t="str">
        <f>VLOOKUP(B2835,辅助信息!E:J,6,FALSE)</f>
        <v>联系实际收货人（彭江涛13990276572）现场要求炉批号控制2个以下，超2个不给予签收。提前联系到场规格及数量</v>
      </c>
      <c r="O2835" s="62" t="str">
        <f ca="1" t="shared" si="167"/>
        <v/>
      </c>
      <c r="P2835" s="62"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0">
        <v>45887</v>
      </c>
      <c r="D2836" s="40" t="str">
        <f>VLOOKUP(B2836,辅助信息!E:K,7,FALSE)</f>
        <v>JWDDCD2025052800131</v>
      </c>
      <c r="E2836" s="40" t="str">
        <f>VLOOKUP(F2836,辅助信息!A:B,2,FALSE)</f>
        <v>盘螺</v>
      </c>
      <c r="F2836" s="40" t="s">
        <v>49</v>
      </c>
      <c r="G2836" s="36">
        <v>6</v>
      </c>
      <c r="H2836" s="134">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09" t="str">
        <f>VLOOKUP(B2836,辅助信息!E:J,6,FALSE)</f>
        <v>控制炉批号！多了现场不收！,优先安排达钢,提前联系到场规格及数量</v>
      </c>
      <c r="O2836" s="62" t="str">
        <f ca="1" t="shared" si="167"/>
        <v/>
      </c>
      <c r="P2836" s="62"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0">
        <v>45887</v>
      </c>
      <c r="D2837" s="40" t="str">
        <f>VLOOKUP(B2837,辅助信息!E:K,7,FALSE)</f>
        <v>JWDDCD2025052800131</v>
      </c>
      <c r="E2837" s="40" t="str">
        <f>VLOOKUP(F2837,辅助信息!A:B,2,FALSE)</f>
        <v>盘螺</v>
      </c>
      <c r="F2837" s="40" t="s">
        <v>40</v>
      </c>
      <c r="G2837" s="36">
        <v>24</v>
      </c>
      <c r="H2837" s="134">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09" t="str">
        <f>VLOOKUP(B2837,辅助信息!E:J,6,FALSE)</f>
        <v>控制炉批号！多了现场不收！,优先安排达钢,提前联系到场规格及数量</v>
      </c>
      <c r="O2837" s="62" t="str">
        <f ca="1" t="shared" si="167"/>
        <v/>
      </c>
      <c r="P2837" s="62"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0">
        <v>45887</v>
      </c>
      <c r="D2838" s="40" t="str">
        <f>VLOOKUP(B2838,辅助信息!E:K,7,FALSE)</f>
        <v>JWDDCD2025052800131</v>
      </c>
      <c r="E2838" s="40" t="str">
        <f>VLOOKUP(F2838,辅助信息!A:B,2,FALSE)</f>
        <v>盘螺</v>
      </c>
      <c r="F2838" s="40" t="s">
        <v>41</v>
      </c>
      <c r="G2838" s="36">
        <v>15</v>
      </c>
      <c r="H2838" s="134">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09" t="str">
        <f>VLOOKUP(B2838,辅助信息!E:J,6,FALSE)</f>
        <v>控制炉批号！多了现场不收！,优先安排达钢,提前联系到场规格及数量</v>
      </c>
      <c r="O2838" s="62" t="str">
        <f ca="1" t="shared" si="167"/>
        <v/>
      </c>
      <c r="P2838" s="62"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0">
        <v>45887</v>
      </c>
      <c r="D2839" s="40" t="str">
        <f>VLOOKUP(B2839,辅助信息!E:K,7,FALSE)</f>
        <v>JWDDCD2025052800131</v>
      </c>
      <c r="E2839" s="40" t="str">
        <f>VLOOKUP(F2839,辅助信息!A:B,2,FALSE)</f>
        <v>螺纹钢</v>
      </c>
      <c r="F2839" s="40" t="s">
        <v>45</v>
      </c>
      <c r="G2839" s="36">
        <v>6</v>
      </c>
      <c r="H2839" s="134">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09" t="str">
        <f>VLOOKUP(B2839,辅助信息!E:J,6,FALSE)</f>
        <v>控制炉批号！多了现场不收！,优先安排达钢,提前联系到场规格及数量</v>
      </c>
      <c r="O2839" s="62" t="str">
        <f ca="1" t="shared" si="167"/>
        <v/>
      </c>
      <c r="P2839" s="62"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0">
        <v>45887</v>
      </c>
      <c r="D2840" s="40" t="str">
        <f>VLOOKUP(B2840,辅助信息!E:K,7,FALSE)</f>
        <v>JWDDCD2025052800131</v>
      </c>
      <c r="E2840" s="40" t="str">
        <f>VLOOKUP(F2840,辅助信息!A:B,2,FALSE)</f>
        <v>螺纹钢</v>
      </c>
      <c r="F2840" s="40" t="s">
        <v>21</v>
      </c>
      <c r="G2840" s="36">
        <v>9</v>
      </c>
      <c r="H2840" s="134">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09" t="str">
        <f>VLOOKUP(B2840,辅助信息!E:J,6,FALSE)</f>
        <v>控制炉批号！多了现场不收！,优先安排达钢,提前联系到场规格及数量</v>
      </c>
      <c r="O2840" s="62" t="str">
        <f ca="1" t="shared" si="167"/>
        <v/>
      </c>
      <c r="P2840" s="62"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0">
        <v>45887</v>
      </c>
      <c r="D2841" s="40" t="str">
        <f>VLOOKUP(B2841,辅助信息!E:K,7,FALSE)</f>
        <v>JWDDCD2025052800131</v>
      </c>
      <c r="E2841" s="40" t="str">
        <f>VLOOKUP(F2841,辅助信息!A:B,2,FALSE)</f>
        <v>螺纹钢</v>
      </c>
      <c r="F2841" s="40" t="s">
        <v>58</v>
      </c>
      <c r="G2841" s="36">
        <v>9</v>
      </c>
      <c r="H2841" s="134">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09" t="str">
        <f>VLOOKUP(B2841,辅助信息!E:J,6,FALSE)</f>
        <v>控制炉批号！多了现场不收！,优先安排达钢,提前联系到场规格及数量</v>
      </c>
      <c r="O2841" s="62" t="str">
        <f ca="1" t="shared" si="167"/>
        <v/>
      </c>
      <c r="P2841" s="62"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0">
        <v>45887</v>
      </c>
      <c r="D2842" s="40" t="str">
        <f>VLOOKUP(B2842,辅助信息!E:K,7,FALSE)</f>
        <v>JWDDCD2025052800131</v>
      </c>
      <c r="E2842" s="40" t="str">
        <f>VLOOKUP(F2842,辅助信息!A:B,2,FALSE)</f>
        <v>螺纹钢</v>
      </c>
      <c r="F2842" s="40" t="s">
        <v>22</v>
      </c>
      <c r="G2842" s="36">
        <v>21</v>
      </c>
      <c r="H2842" s="134">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09" t="str">
        <f>VLOOKUP(B2842,辅助信息!E:J,6,FALSE)</f>
        <v>控制炉批号！多了现场不收！,优先安排达钢,提前联系到场规格及数量</v>
      </c>
      <c r="O2842" s="62" t="str">
        <f ca="1" t="shared" si="167"/>
        <v/>
      </c>
      <c r="P2842" s="62"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0" t="s">
        <v>187</v>
      </c>
      <c r="C2843" s="70">
        <v>45888</v>
      </c>
      <c r="D2843" s="120" t="str">
        <f>VLOOKUP(B2843,辅助信息!E:K,7,FALSE)</f>
        <v>JWDDCD2025072900121</v>
      </c>
      <c r="E2843" s="120" t="str">
        <f>VLOOKUP(F2843,辅助信息!A:B,2,FALSE)</f>
        <v>螺纹钢</v>
      </c>
      <c r="F2843" s="120" t="s">
        <v>142</v>
      </c>
      <c r="G2843" s="121">
        <v>12</v>
      </c>
      <c r="H2843" s="134" t="str">
        <f>_xlfn.XLOOKUP(C2843&amp;F2843&amp;I2843&amp;J2843,'[1]2025年已发货'!$F:$F&amp;'[1]2025年已发货'!$C:$C&amp;'[1]2025年已发货'!$G:$G&amp;'[1]2025年已发货'!$H:$H,'[1]2025年已发货'!$E:$E,"未发货")</f>
        <v>未发货</v>
      </c>
      <c r="I2843" s="120" t="str">
        <f>VLOOKUP(B2843,辅助信息!E:I,3,FALSE)</f>
        <v>(乐山市校地共建产教融合基地建设项目一标段)四川省乐山市市中区苏稽镇周山嘴</v>
      </c>
      <c r="J2843" s="120" t="str">
        <f>VLOOKUP(B2843,辅助信息!E:I,4,FALSE)</f>
        <v>范增云</v>
      </c>
      <c r="K2843" s="120">
        <f>VLOOKUP(J2843,辅助信息!H:I,2,FALSE)</f>
        <v>13668153241</v>
      </c>
      <c r="L2843" s="122" t="str">
        <f>VLOOKUP(B2843,辅助信息!E:J,6,FALSE)</f>
        <v>联系实际收货人（范增云13668153241）现场要求炉批号控制2个以下，超2个不给予签收。提前联系到场规格及数量</v>
      </c>
      <c r="O2843" s="62" t="str">
        <f ca="1" t="shared" si="167"/>
        <v/>
      </c>
      <c r="P2843" s="62"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0" t="s">
        <v>187</v>
      </c>
      <c r="C2844" s="70">
        <v>45888</v>
      </c>
      <c r="D2844" s="120" t="str">
        <f>VLOOKUP(B2844,辅助信息!E:K,7,FALSE)</f>
        <v>JWDDCD2025072900121</v>
      </c>
      <c r="E2844" s="120" t="str">
        <f>VLOOKUP(F2844,辅助信息!A:B,2,FALSE)</f>
        <v>螺纹钢</v>
      </c>
      <c r="F2844" s="120" t="s">
        <v>200</v>
      </c>
      <c r="G2844" s="121">
        <v>10</v>
      </c>
      <c r="H2844" s="134" t="str">
        <f>_xlfn.XLOOKUP(C2844&amp;F2844&amp;I2844&amp;J2844,'[1]2025年已发货'!$F:$F&amp;'[1]2025年已发货'!$C:$C&amp;'[1]2025年已发货'!$G:$G&amp;'[1]2025年已发货'!$H:$H,'[1]2025年已发货'!$E:$E,"未发货")</f>
        <v>未发货</v>
      </c>
      <c r="I2844" s="120" t="str">
        <f>VLOOKUP(B2844,辅助信息!E:I,3,FALSE)</f>
        <v>(乐山市校地共建产教融合基地建设项目一标段)四川省乐山市市中区苏稽镇周山嘴</v>
      </c>
      <c r="J2844" s="120" t="str">
        <f>VLOOKUP(B2844,辅助信息!E:I,4,FALSE)</f>
        <v>范增云</v>
      </c>
      <c r="K2844" s="120">
        <f>VLOOKUP(J2844,辅助信息!H:I,2,FALSE)</f>
        <v>13668153241</v>
      </c>
      <c r="L2844" s="122" t="str">
        <f>VLOOKUP(B2844,辅助信息!E:J,6,FALSE)</f>
        <v>联系实际收货人（范增云13668153241）现场要求炉批号控制2个以下，超2个不给予签收。提前联系到场规格及数量</v>
      </c>
      <c r="O2844" s="62" t="str">
        <f ca="1" t="shared" si="167"/>
        <v/>
      </c>
      <c r="P2844" s="62"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0" t="s">
        <v>187</v>
      </c>
      <c r="C2845" s="70">
        <v>45888</v>
      </c>
      <c r="D2845" s="120" t="str">
        <f>VLOOKUP(B2845,辅助信息!E:K,7,FALSE)</f>
        <v>JWDDCD2025072900121</v>
      </c>
      <c r="E2845" s="120" t="str">
        <f>VLOOKUP(F2845,辅助信息!A:B,2,FALSE)</f>
        <v>螺纹钢</v>
      </c>
      <c r="F2845" s="120" t="s">
        <v>201</v>
      </c>
      <c r="G2845" s="121">
        <f>16-7.5</f>
        <v>8.5</v>
      </c>
      <c r="H2845" s="134" t="str">
        <f>_xlfn.XLOOKUP(C2845&amp;F2845&amp;I2845&amp;J2845,'[1]2025年已发货'!$F:$F&amp;'[1]2025年已发货'!$C:$C&amp;'[1]2025年已发货'!$G:$G&amp;'[1]2025年已发货'!$H:$H,'[1]2025年已发货'!$E:$E,"未发货")</f>
        <v>未发货</v>
      </c>
      <c r="I2845" s="120" t="str">
        <f>VLOOKUP(B2845,辅助信息!E:I,3,FALSE)</f>
        <v>(乐山市校地共建产教融合基地建设项目一标段)四川省乐山市市中区苏稽镇周山嘴</v>
      </c>
      <c r="J2845" s="120" t="str">
        <f>VLOOKUP(B2845,辅助信息!E:I,4,FALSE)</f>
        <v>范增云</v>
      </c>
      <c r="K2845" s="120">
        <f>VLOOKUP(J2845,辅助信息!H:I,2,FALSE)</f>
        <v>13668153241</v>
      </c>
      <c r="L2845" s="122" t="str">
        <f>VLOOKUP(B2845,辅助信息!E:J,6,FALSE)</f>
        <v>联系实际收货人（范增云13668153241）现场要求炉批号控制2个以下，超2个不给予签收。提前联系到场规格及数量</v>
      </c>
      <c r="O2845" s="62" t="str">
        <f ca="1" t="shared" ref="O2845:O2900" si="169">IF(OR(M2845="",N2845&lt;&gt;""),"",MAX(M2845-TODAY(),0))</f>
        <v/>
      </c>
      <c r="P2845" s="62"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0">
        <v>45888</v>
      </c>
      <c r="D2846" s="40" t="str">
        <f>VLOOKUP(B2846,辅助信息!E:K,7,FALSE)</f>
        <v>JWDDCD2025051800046</v>
      </c>
      <c r="E2846" s="40" t="str">
        <f>VLOOKUP(F2846,辅助信息!A:B,2,FALSE)</f>
        <v>盘螺</v>
      </c>
      <c r="F2846" s="40" t="s">
        <v>49</v>
      </c>
      <c r="G2846" s="36">
        <v>6</v>
      </c>
      <c r="H2846" s="134">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09" t="str">
        <f>VLOOKUP(B2846,辅助信息!E:J,6,FALSE)</f>
        <v>优先威钢,我方卸车,新老国标钢厂不加价可直发</v>
      </c>
      <c r="O2846" s="62" t="str">
        <f ca="1" t="shared" si="169"/>
        <v/>
      </c>
      <c r="P2846" s="62"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0">
        <v>45888</v>
      </c>
      <c r="D2847" s="40" t="str">
        <f>VLOOKUP(B2847,辅助信息!E:K,7,FALSE)</f>
        <v>JWDDCD2025051800046</v>
      </c>
      <c r="E2847" s="40" t="str">
        <f>VLOOKUP(F2847,辅助信息!A:B,2,FALSE)</f>
        <v>螺纹钢</v>
      </c>
      <c r="F2847" s="40" t="s">
        <v>27</v>
      </c>
      <c r="G2847" s="36">
        <v>7</v>
      </c>
      <c r="H2847" s="134">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09" t="str">
        <f>VLOOKUP(B2847,辅助信息!E:J,6,FALSE)</f>
        <v>优先威钢,我方卸车,新老国标钢厂不加价可直发</v>
      </c>
      <c r="O2847" s="62" t="str">
        <f ca="1" t="shared" si="169"/>
        <v/>
      </c>
      <c r="P2847" s="62"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0">
        <v>45888</v>
      </c>
      <c r="D2848" s="40" t="str">
        <f>VLOOKUP(B2848,辅助信息!E:K,7,FALSE)</f>
        <v>JWDDCD2025051800046</v>
      </c>
      <c r="E2848" s="40" t="str">
        <f>VLOOKUP(F2848,辅助信息!A:B,2,FALSE)</f>
        <v>螺纹钢</v>
      </c>
      <c r="F2848" s="40" t="s">
        <v>65</v>
      </c>
      <c r="G2848" s="36">
        <v>3</v>
      </c>
      <c r="H2848" s="134">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09" t="str">
        <f>VLOOKUP(B2848,辅助信息!E:J,6,FALSE)</f>
        <v>优先威钢,我方卸车,新老国标钢厂不加价可直发</v>
      </c>
      <c r="O2848" s="62" t="str">
        <f ca="1" t="shared" si="169"/>
        <v/>
      </c>
      <c r="P2848" s="62"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0">
        <v>45888</v>
      </c>
      <c r="D2849" s="40" t="str">
        <f>VLOOKUP(B2849,辅助信息!E:K,7,FALSE)</f>
        <v>JWDDCD2025051800046</v>
      </c>
      <c r="E2849" s="40" t="str">
        <f>VLOOKUP(F2849,辅助信息!A:B,2,FALSE)</f>
        <v>螺纹钢</v>
      </c>
      <c r="F2849" s="40" t="s">
        <v>82</v>
      </c>
      <c r="G2849" s="36">
        <v>3</v>
      </c>
      <c r="H2849" s="134">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09" t="str">
        <f>VLOOKUP(B2849,辅助信息!E:J,6,FALSE)</f>
        <v>优先威钢,我方卸车,新老国标钢厂不加价可直发</v>
      </c>
      <c r="O2849" s="62" t="str">
        <f ca="1" t="shared" si="169"/>
        <v/>
      </c>
      <c r="P2849" s="62"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0">
        <v>45888</v>
      </c>
      <c r="D2850" s="40" t="str">
        <f>VLOOKUP(B2850,辅助信息!E:K,7,FALSE)</f>
        <v>JWDDCD2025051800046</v>
      </c>
      <c r="E2850" s="40" t="str">
        <f>VLOOKUP(F2850,辅助信息!A:B,2,FALSE)</f>
        <v>螺纹钢</v>
      </c>
      <c r="F2850" s="40" t="s">
        <v>22</v>
      </c>
      <c r="G2850" s="36">
        <v>20</v>
      </c>
      <c r="H2850" s="134">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09" t="str">
        <f>VLOOKUP(B2850,辅助信息!E:J,6,FALSE)</f>
        <v>优先威钢,我方卸车,新老国标钢厂不加价可直发</v>
      </c>
      <c r="O2850" s="62" t="str">
        <f ca="1" t="shared" si="169"/>
        <v/>
      </c>
      <c r="P2850" s="62"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0">
        <v>45888</v>
      </c>
      <c r="D2851" s="40" t="str">
        <f>VLOOKUP(B2851,辅助信息!E:K,7,FALSE)</f>
        <v>JWDDCD2025052800131</v>
      </c>
      <c r="E2851" s="40" t="str">
        <f>VLOOKUP(F2851,辅助信息!A:B,2,FALSE)</f>
        <v>盘螺</v>
      </c>
      <c r="F2851" s="40" t="s">
        <v>40</v>
      </c>
      <c r="G2851" s="36">
        <v>30</v>
      </c>
      <c r="H2851" s="134">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09" t="str">
        <f>VLOOKUP(B2851,辅助信息!E:J,6,FALSE)</f>
        <v>控制炉批号！多了现场不收！,优先安排达钢,提前联系到场规格及数量</v>
      </c>
      <c r="O2851" s="62" t="str">
        <f ca="1" t="shared" si="169"/>
        <v/>
      </c>
      <c r="P2851" s="62"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0">
        <v>45888</v>
      </c>
      <c r="D2852" s="40" t="str">
        <f>VLOOKUP(B2852,辅助信息!E:K,7,FALSE)</f>
        <v>JWDDCD2025052800131</v>
      </c>
      <c r="E2852" s="40" t="str">
        <f>VLOOKUP(F2852,辅助信息!A:B,2,FALSE)</f>
        <v>盘螺</v>
      </c>
      <c r="F2852" s="40" t="s">
        <v>41</v>
      </c>
      <c r="G2852" s="36">
        <v>9</v>
      </c>
      <c r="H2852" s="134">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09" t="str">
        <f>VLOOKUP(B2852,辅助信息!E:J,6,FALSE)</f>
        <v>控制炉批号！多了现场不收！,优先安排达钢,提前联系到场规格及数量</v>
      </c>
      <c r="O2852" s="62" t="str">
        <f ca="1" t="shared" si="169"/>
        <v/>
      </c>
      <c r="P2852" s="62"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0">
        <v>45888</v>
      </c>
      <c r="D2853" s="40" t="str">
        <f>VLOOKUP(B2853,辅助信息!E:K,7,FALSE)</f>
        <v>JWDDCD2025052800131</v>
      </c>
      <c r="E2853" s="40" t="str">
        <f>VLOOKUP(F2853,辅助信息!A:B,2,FALSE)</f>
        <v>螺纹钢</v>
      </c>
      <c r="F2853" s="40" t="s">
        <v>27</v>
      </c>
      <c r="G2853" s="36">
        <v>12</v>
      </c>
      <c r="H2853" s="134">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09" t="str">
        <f>VLOOKUP(B2853,辅助信息!E:J,6,FALSE)</f>
        <v>控制炉批号！多了现场不收！,优先安排达钢,提前联系到场规格及数量</v>
      </c>
      <c r="O2853" s="62" t="str">
        <f ca="1" t="shared" si="169"/>
        <v/>
      </c>
      <c r="P2853" s="62"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0">
        <v>45888</v>
      </c>
      <c r="D2854" s="40" t="str">
        <f>VLOOKUP(B2854,辅助信息!E:K,7,FALSE)</f>
        <v>JWDDCD2025072900123</v>
      </c>
      <c r="E2854" s="40" t="str">
        <f>VLOOKUP(F2854,辅助信息!A:B,2,FALSE)</f>
        <v>螺纹钢</v>
      </c>
      <c r="F2854" s="40" t="s">
        <v>19</v>
      </c>
      <c r="G2854" s="36">
        <v>15</v>
      </c>
      <c r="H2854" s="134">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09" t="str">
        <f>VLOOKUP(B2854,辅助信息!E:J,6,FALSE)</f>
        <v>联系实际收货人（彭江涛13990276572）现场要求炉批号控制2个以下，超2个不给予签收。提前联系到场规格及数量</v>
      </c>
      <c r="O2854" s="62" t="str">
        <f ca="1" t="shared" si="169"/>
        <v/>
      </c>
      <c r="P2854" s="62"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0">
        <v>45888</v>
      </c>
      <c r="D2855" s="40" t="str">
        <f>VLOOKUP(B2855,辅助信息!E:K,7,FALSE)</f>
        <v>JWDDCD2025072900123</v>
      </c>
      <c r="E2855" s="40" t="str">
        <f>VLOOKUP(F2855,辅助信息!A:B,2,FALSE)</f>
        <v>螺纹钢</v>
      </c>
      <c r="F2855" s="40" t="s">
        <v>33</v>
      </c>
      <c r="G2855" s="36">
        <v>15</v>
      </c>
      <c r="H2855" s="134">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09" t="str">
        <f>VLOOKUP(B2855,辅助信息!E:J,6,FALSE)</f>
        <v>联系实际收货人（彭江涛13990276572）现场要求炉批号控制2个以下，超2个不给予签收。提前联系到场规格及数量</v>
      </c>
      <c r="O2855" s="62" t="str">
        <f ca="1" t="shared" si="169"/>
        <v/>
      </c>
      <c r="P2855" s="62"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0">
        <v>45888</v>
      </c>
      <c r="D2856" s="40" t="str">
        <f>VLOOKUP(B2856,辅助信息!E:K,7,FALSE)</f>
        <v>JWDDCD2025072900123</v>
      </c>
      <c r="E2856" s="40" t="str">
        <f>VLOOKUP(F2856,辅助信息!A:B,2,FALSE)</f>
        <v>螺纹钢</v>
      </c>
      <c r="F2856" s="40" t="s">
        <v>28</v>
      </c>
      <c r="G2856" s="36">
        <v>5</v>
      </c>
      <c r="H2856" s="134">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09" t="str">
        <f>VLOOKUP(B2856,辅助信息!E:J,6,FALSE)</f>
        <v>联系实际收货人（彭江涛13990276572）现场要求炉批号控制2个以下，超2个不给予签收。提前联系到场规格及数量</v>
      </c>
      <c r="O2856" s="62" t="str">
        <f ca="1" t="shared" si="169"/>
        <v/>
      </c>
      <c r="P2856" s="62"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0">
        <v>45888</v>
      </c>
      <c r="D2857" s="40" t="str">
        <f>VLOOKUP(B2857,辅助信息!E:K,7,FALSE)</f>
        <v>JWDDCD2025072900123</v>
      </c>
      <c r="E2857" s="40" t="str">
        <f>VLOOKUP(F2857,辅助信息!A:B,2,FALSE)</f>
        <v>螺纹钢</v>
      </c>
      <c r="F2857" s="40" t="s">
        <v>76</v>
      </c>
      <c r="G2857" s="36">
        <v>15</v>
      </c>
      <c r="H2857" s="134">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09" t="str">
        <f>VLOOKUP(B2857,辅助信息!E:J,6,FALSE)</f>
        <v>联系实际收货人（彭江涛13990276572）现场要求炉批号控制2个以下，超2个不给予签收。提前联系到场规格及数量</v>
      </c>
      <c r="O2857" s="62" t="str">
        <f ca="1" t="shared" si="169"/>
        <v/>
      </c>
      <c r="P2857" s="62"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0">
        <v>45888</v>
      </c>
      <c r="D2858" s="40" t="str">
        <f>VLOOKUP(B2858,辅助信息!E:K,7,FALSE)</f>
        <v>JWDDCD2025072900123</v>
      </c>
      <c r="E2858" s="40" t="str">
        <f>VLOOKUP(F2858,辅助信息!A:B,2,FALSE)</f>
        <v>螺纹钢</v>
      </c>
      <c r="F2858" s="40" t="s">
        <v>138</v>
      </c>
      <c r="G2858" s="36">
        <v>15</v>
      </c>
      <c r="H2858" s="134">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09" t="str">
        <f>VLOOKUP(B2858,辅助信息!E:J,6,FALSE)</f>
        <v>联系实际收货人（彭江涛13990276572）现场要求炉批号控制2个以下，超2个不给予签收。提前联系到场规格及数量</v>
      </c>
      <c r="O2858" s="62" t="str">
        <f ca="1" t="shared" si="169"/>
        <v/>
      </c>
      <c r="P2858" s="62"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0">
        <v>45888</v>
      </c>
      <c r="D2859" s="40" t="str">
        <f>VLOOKUP(B2859,辅助信息!E:K,7,FALSE)</f>
        <v>JWDDCD2025072900123</v>
      </c>
      <c r="E2859" s="40" t="str">
        <f>VLOOKUP(F2859,辅助信息!A:B,2,FALSE)</f>
        <v>螺纹钢</v>
      </c>
      <c r="F2859" s="40" t="s">
        <v>133</v>
      </c>
      <c r="G2859" s="36">
        <v>5</v>
      </c>
      <c r="H2859" s="134">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09" t="str">
        <f>VLOOKUP(B2859,辅助信息!E:J,6,FALSE)</f>
        <v>联系实际收货人（彭江涛13990276572）现场要求炉批号控制2个以下，超2个不给予签收。提前联系到场规格及数量</v>
      </c>
      <c r="O2859" s="62" t="str">
        <f ca="1" t="shared" si="169"/>
        <v/>
      </c>
      <c r="P2859" s="62"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0">
        <v>45889</v>
      </c>
      <c r="D2860" s="40" t="str">
        <f>VLOOKUP(B2860,辅助信息!E:K,7,FALSE)</f>
        <v>JWDDCD2025052800131</v>
      </c>
      <c r="E2860" s="40" t="str">
        <f>VLOOKUP(F2860,辅助信息!A:B,2,FALSE)</f>
        <v>螺纹钢</v>
      </c>
      <c r="F2860" s="40" t="s">
        <v>27</v>
      </c>
      <c r="G2860" s="36">
        <v>15</v>
      </c>
      <c r="H2860" s="134">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09" t="str">
        <f>VLOOKUP(B2860,辅助信息!E:J,6,FALSE)</f>
        <v>控制炉批号！多了现场不收！,优先安排达钢,提前联系到场规格及数量</v>
      </c>
      <c r="O2860" s="62" t="str">
        <f ca="1" t="shared" si="169"/>
        <v/>
      </c>
      <c r="P2860" s="62"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0">
        <v>45889</v>
      </c>
      <c r="D2861" s="40" t="str">
        <f>VLOOKUP(B2861,辅助信息!E:K,7,FALSE)</f>
        <v>JWDDCD2025052800131</v>
      </c>
      <c r="E2861" s="40" t="str">
        <f>VLOOKUP(F2861,辅助信息!A:B,2,FALSE)</f>
        <v>螺纹钢</v>
      </c>
      <c r="F2861" s="40" t="s">
        <v>32</v>
      </c>
      <c r="G2861" s="36">
        <v>15</v>
      </c>
      <c r="H2861" s="134">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09" t="str">
        <f>VLOOKUP(B2861,辅助信息!E:J,6,FALSE)</f>
        <v>控制炉批号！多了现场不收！,优先安排达钢,提前联系到场规格及数量</v>
      </c>
      <c r="O2861" s="62" t="str">
        <f ca="1" t="shared" si="169"/>
        <v/>
      </c>
      <c r="P2861" s="62"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0">
        <v>45889</v>
      </c>
      <c r="D2862" s="40" t="str">
        <f>VLOOKUP(B2862,辅助信息!E:K,7,FALSE)</f>
        <v>JWDDCD2025052800131</v>
      </c>
      <c r="E2862" s="40" t="str">
        <f>VLOOKUP(F2862,辅助信息!A:B,2,FALSE)</f>
        <v>螺纹钢</v>
      </c>
      <c r="F2862" s="40" t="s">
        <v>33</v>
      </c>
      <c r="G2862" s="36">
        <v>15</v>
      </c>
      <c r="H2862" s="134">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09" t="str">
        <f>VLOOKUP(B2862,辅助信息!E:J,6,FALSE)</f>
        <v>控制炉批号！多了现场不收！,优先安排达钢,提前联系到场规格及数量</v>
      </c>
      <c r="O2862" s="62" t="str">
        <f ca="1" t="shared" si="169"/>
        <v/>
      </c>
      <c r="P2862" s="62"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0">
        <v>45889</v>
      </c>
      <c r="D2863" s="40" t="str">
        <f>VLOOKUP(B2863,辅助信息!E:K,7,FALSE)</f>
        <v>JWDDCD2025062200016</v>
      </c>
      <c r="E2863" s="40" t="str">
        <f>VLOOKUP(F2863,辅助信息!A:B,2,FALSE)</f>
        <v>盘螺</v>
      </c>
      <c r="F2863" s="40" t="s">
        <v>40</v>
      </c>
      <c r="G2863" s="36">
        <v>10</v>
      </c>
      <c r="H2863" s="134">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09" t="str">
        <f>VLOOKUP(B2863,辅助信息!E:J,6,FALSE)</f>
        <v>锈货不收！！下雨天钢筋没盖篷布不收！！，装货前联系收货人核实到场规格,没提前告知进场规格现场不给予接收</v>
      </c>
      <c r="O2863" s="62" t="str">
        <f ca="1" t="shared" si="169"/>
        <v/>
      </c>
      <c r="P2863" s="62"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0">
        <v>45889</v>
      </c>
      <c r="D2864" s="40" t="str">
        <f>VLOOKUP(B2864,辅助信息!E:K,7,FALSE)</f>
        <v>JWDDCD2025062200016</v>
      </c>
      <c r="E2864" s="40" t="str">
        <f>VLOOKUP(F2864,辅助信息!A:B,2,FALSE)</f>
        <v>盘螺</v>
      </c>
      <c r="F2864" s="40" t="s">
        <v>41</v>
      </c>
      <c r="G2864" s="36">
        <v>18</v>
      </c>
      <c r="H2864" s="134">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09" t="str">
        <f>VLOOKUP(B2864,辅助信息!E:J,6,FALSE)</f>
        <v>锈货不收！！下雨天钢筋没盖篷布不收！！，装货前联系收货人核实到场规格,没提前告知进场规格现场不给予接收</v>
      </c>
      <c r="O2864" s="62" t="str">
        <f ca="1" t="shared" si="169"/>
        <v/>
      </c>
      <c r="P2864" s="62"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0">
        <v>45889</v>
      </c>
      <c r="D2865" s="40" t="str">
        <f>VLOOKUP(B2865,辅助信息!E:K,7,FALSE)</f>
        <v>JWDDCD2025062200016</v>
      </c>
      <c r="E2865" s="40" t="str">
        <f>VLOOKUP(F2865,辅助信息!A:B,2,FALSE)</f>
        <v>螺纹钢</v>
      </c>
      <c r="F2865" s="40" t="s">
        <v>27</v>
      </c>
      <c r="G2865" s="36">
        <v>10</v>
      </c>
      <c r="H2865" s="134">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09" t="str">
        <f>VLOOKUP(B2865,辅助信息!E:J,6,FALSE)</f>
        <v>锈货不收！！下雨天钢筋没盖篷布不收！！，装货前联系收货人核实到场规格,没提前告知进场规格现场不给予接收</v>
      </c>
      <c r="O2865" s="62" t="str">
        <f ca="1" t="shared" si="169"/>
        <v/>
      </c>
      <c r="P2865" s="62"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0">
        <v>45889</v>
      </c>
      <c r="D2866" s="40" t="str">
        <f>VLOOKUP(B2866,辅助信息!E:K,7,FALSE)</f>
        <v>JWDDCD2025062200016</v>
      </c>
      <c r="E2866" s="40" t="str">
        <f>VLOOKUP(F2866,辅助信息!A:B,2,FALSE)</f>
        <v>螺纹钢</v>
      </c>
      <c r="F2866" s="40" t="s">
        <v>19</v>
      </c>
      <c r="G2866" s="36">
        <v>5</v>
      </c>
      <c r="H2866" s="134">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09" t="str">
        <f>VLOOKUP(B2866,辅助信息!E:J,6,FALSE)</f>
        <v>锈货不收！！下雨天钢筋没盖篷布不收！！，装货前联系收货人核实到场规格,没提前告知进场规格现场不给予接收</v>
      </c>
      <c r="O2866" s="62" t="str">
        <f ca="1" t="shared" si="169"/>
        <v/>
      </c>
      <c r="P2866" s="62"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0">
        <v>45889</v>
      </c>
      <c r="D2867" s="40" t="str">
        <f>VLOOKUP(B2867,辅助信息!E:K,7,FALSE)</f>
        <v>JWDDCD2025062200016</v>
      </c>
      <c r="E2867" s="40" t="str">
        <f>VLOOKUP(F2867,辅助信息!A:B,2,FALSE)</f>
        <v>螺纹钢</v>
      </c>
      <c r="F2867" s="40" t="s">
        <v>33</v>
      </c>
      <c r="G2867" s="36">
        <v>8</v>
      </c>
      <c r="H2867" s="134"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09" t="str">
        <f>VLOOKUP(B2867,辅助信息!E:J,6,FALSE)</f>
        <v>锈货不收！！下雨天钢筋没盖篷布不收！！，装货前联系收货人核实到场规格,没提前告知进场规格现场不给予接收</v>
      </c>
      <c r="O2867" s="62" t="str">
        <f ca="1" t="shared" si="169"/>
        <v/>
      </c>
      <c r="P2867" s="62"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0">
        <v>45889</v>
      </c>
      <c r="D2868" s="40" t="str">
        <f>VLOOKUP(B2868,辅助信息!E:K,7,FALSE)</f>
        <v>JWDDCD2025062200016</v>
      </c>
      <c r="E2868" s="40" t="str">
        <f>VLOOKUP(F2868,辅助信息!A:B,2,FALSE)</f>
        <v>螺纹钢</v>
      </c>
      <c r="F2868" s="40" t="s">
        <v>28</v>
      </c>
      <c r="G2868" s="36">
        <v>5</v>
      </c>
      <c r="H2868" s="134">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09" t="str">
        <f>VLOOKUP(B2868,辅助信息!E:J,6,FALSE)</f>
        <v>锈货不收！！下雨天钢筋没盖篷布不收！！，装货前联系收货人核实到场规格,没提前告知进场规格现场不给予接收</v>
      </c>
      <c r="O2868" s="62" t="str">
        <f ca="1" t="shared" si="169"/>
        <v/>
      </c>
      <c r="P2868" s="62"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0">
        <v>45889</v>
      </c>
      <c r="D2869" s="40" t="str">
        <f>VLOOKUP(B2869,辅助信息!E:K,7,FALSE)</f>
        <v>JWDDCD2025062200016</v>
      </c>
      <c r="E2869" s="40" t="str">
        <f>VLOOKUP(F2869,辅助信息!A:B,2,FALSE)</f>
        <v>螺纹钢</v>
      </c>
      <c r="F2869" s="40" t="s">
        <v>18</v>
      </c>
      <c r="G2869" s="36">
        <v>15</v>
      </c>
      <c r="H2869" s="134">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09" t="str">
        <f>VLOOKUP(B2869,辅助信息!E:J,6,FALSE)</f>
        <v>锈货不收！！下雨天钢筋没盖篷布不收！！，装货前联系收货人核实到场规格,没提前告知进场规格现场不给予接收</v>
      </c>
      <c r="O2869" s="62" t="str">
        <f ca="1" t="shared" si="169"/>
        <v/>
      </c>
      <c r="P2869" s="62"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0">
        <v>45889</v>
      </c>
      <c r="D2870" s="40" t="str">
        <f>VLOOKUP(B2870,辅助信息!E:K,7,FALSE)</f>
        <v>JWDDCD2025072900121</v>
      </c>
      <c r="E2870" s="40" t="str">
        <f>VLOOKUP(F2870,辅助信息!A:B,2,FALSE)</f>
        <v>高线</v>
      </c>
      <c r="F2870" s="40" t="s">
        <v>57</v>
      </c>
      <c r="G2870" s="36">
        <v>20</v>
      </c>
      <c r="H2870" s="134"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09" t="str">
        <f>VLOOKUP(B2870,辅助信息!E:J,6,FALSE)</f>
        <v>联系实际收货人（范增云13668153241）现场要求炉批号控制2个以下，超2个不给予签收。提前联系到场规格及数量</v>
      </c>
      <c r="O2870" s="62" t="str">
        <f ca="1" t="shared" si="169"/>
        <v/>
      </c>
      <c r="P2870" s="62"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0">
        <v>45889</v>
      </c>
      <c r="D2871" s="40" t="str">
        <f>VLOOKUP(B2871,辅助信息!E:K,7,FALSE)</f>
        <v>JWDDCD2025072900121</v>
      </c>
      <c r="E2871" s="40" t="str">
        <f>VLOOKUP(F2871,辅助信息!A:B,2,FALSE)</f>
        <v>盘螺</v>
      </c>
      <c r="F2871" s="40" t="s">
        <v>49</v>
      </c>
      <c r="G2871" s="36">
        <v>2</v>
      </c>
      <c r="H2871" s="134"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09" t="str">
        <f>VLOOKUP(B2871,辅助信息!E:J,6,FALSE)</f>
        <v>联系实际收货人（范增云13668153241）现场要求炉批号控制2个以下，超2个不给予签收。提前联系到场规格及数量</v>
      </c>
      <c r="O2871" s="62" t="str">
        <f ca="1" t="shared" si="169"/>
        <v/>
      </c>
      <c r="P2871" s="62"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0">
        <v>45889</v>
      </c>
      <c r="D2872" s="40" t="str">
        <f>VLOOKUP(B2872,辅助信息!E:K,7,FALSE)</f>
        <v>JWDDCD2025072900121</v>
      </c>
      <c r="E2872" s="40" t="str">
        <f>VLOOKUP(F2872,辅助信息!A:B,2,FALSE)</f>
        <v>盘螺</v>
      </c>
      <c r="F2872" s="40" t="s">
        <v>40</v>
      </c>
      <c r="G2872" s="36">
        <v>10</v>
      </c>
      <c r="H2872" s="134"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09" t="str">
        <f>VLOOKUP(B2872,辅助信息!E:J,6,FALSE)</f>
        <v>联系实际收货人（范增云13668153241）现场要求炉批号控制2个以下，超2个不给予签收。提前联系到场规格及数量</v>
      </c>
      <c r="O2872" s="62" t="str">
        <f ca="1" t="shared" si="169"/>
        <v/>
      </c>
      <c r="P2872" s="62"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0">
        <v>45889</v>
      </c>
      <c r="D2873" s="40" t="str">
        <f>VLOOKUP(B2873,辅助信息!E:K,7,FALSE)</f>
        <v>JWDDCD2025072900121</v>
      </c>
      <c r="E2873" s="40" t="str">
        <f>VLOOKUP(F2873,辅助信息!A:B,2,FALSE)</f>
        <v>盘螺</v>
      </c>
      <c r="F2873" s="40" t="s">
        <v>41</v>
      </c>
      <c r="G2873" s="36">
        <v>20</v>
      </c>
      <c r="H2873" s="134"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09" t="str">
        <f>VLOOKUP(B2873,辅助信息!E:J,6,FALSE)</f>
        <v>联系实际收货人（范增云13668153241）现场要求炉批号控制2个以下，超2个不给予签收。提前联系到场规格及数量</v>
      </c>
      <c r="O2873" s="62" t="str">
        <f ca="1" t="shared" si="169"/>
        <v/>
      </c>
      <c r="P2873" s="62"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0">
        <v>45889</v>
      </c>
      <c r="D2874" s="40" t="str">
        <f>VLOOKUP(B2874,辅助信息!E:K,7,FALSE)</f>
        <v>JWDDCD2025072900121</v>
      </c>
      <c r="E2874" s="40" t="str">
        <f>VLOOKUP(F2874,辅助信息!A:B,2,FALSE)</f>
        <v>盘螺</v>
      </c>
      <c r="F2874" s="40" t="s">
        <v>26</v>
      </c>
      <c r="G2874" s="36">
        <v>30</v>
      </c>
      <c r="H2874" s="134"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09" t="str">
        <f>VLOOKUP(B2874,辅助信息!E:J,6,FALSE)</f>
        <v>联系实际收货人（范增云13668153241）现场要求炉批号控制2个以下，超2个不给予签收。提前联系到场规格及数量</v>
      </c>
      <c r="O2874" s="62" t="str">
        <f ca="1" t="shared" si="169"/>
        <v/>
      </c>
      <c r="P2874" s="62"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0">
        <v>45889</v>
      </c>
      <c r="D2875" s="40" t="str">
        <f>VLOOKUP(B2875,辅助信息!E:K,7,FALSE)</f>
        <v>JWDDCD2025072900121</v>
      </c>
      <c r="E2875" s="40" t="str">
        <f>VLOOKUP(F2875,辅助信息!A:B,2,FALSE)</f>
        <v>螺纹钢</v>
      </c>
      <c r="F2875" s="40" t="s">
        <v>33</v>
      </c>
      <c r="G2875" s="36">
        <v>6</v>
      </c>
      <c r="H2875" s="134">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09" t="str">
        <f>VLOOKUP(B2875,辅助信息!E:J,6,FALSE)</f>
        <v>联系实际收货人（范增云13668153241）现场要求炉批号控制2个以下，超2个不给予签收。提前联系到场规格及数量</v>
      </c>
      <c r="O2875" s="62" t="str">
        <f ca="1" t="shared" si="169"/>
        <v/>
      </c>
      <c r="P2875" s="62"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0">
        <v>45889</v>
      </c>
      <c r="D2876" s="40" t="str">
        <f>VLOOKUP(B2876,辅助信息!E:K,7,FALSE)</f>
        <v>JWDDCD2025072900121</v>
      </c>
      <c r="E2876" s="40" t="str">
        <f>VLOOKUP(F2876,辅助信息!A:B,2,FALSE)</f>
        <v>螺纹钢</v>
      </c>
      <c r="F2876" s="40" t="s">
        <v>28</v>
      </c>
      <c r="G2876" s="36">
        <v>3</v>
      </c>
      <c r="H2876" s="134">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09" t="str">
        <f>VLOOKUP(B2876,辅助信息!E:J,6,FALSE)</f>
        <v>联系实际收货人（范增云13668153241）现场要求炉批号控制2个以下，超2个不给予签收。提前联系到场规格及数量</v>
      </c>
      <c r="O2876" s="62" t="str">
        <f ca="1" t="shared" si="169"/>
        <v/>
      </c>
      <c r="P2876" s="62"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0">
        <v>45889</v>
      </c>
      <c r="D2877" s="40" t="str">
        <f>VLOOKUP(B2877,辅助信息!E:K,7,FALSE)</f>
        <v>JWDDCD2025072900121</v>
      </c>
      <c r="E2877" s="40" t="str">
        <f>VLOOKUP(F2877,辅助信息!A:B,2,FALSE)</f>
        <v>螺纹钢</v>
      </c>
      <c r="F2877" s="40" t="s">
        <v>18</v>
      </c>
      <c r="G2877" s="36">
        <v>10</v>
      </c>
      <c r="H2877" s="134">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09" t="str">
        <f>VLOOKUP(B2877,辅助信息!E:J,6,FALSE)</f>
        <v>联系实际收货人（范增云13668153241）现场要求炉批号控制2个以下，超2个不给予签收。提前联系到场规格及数量</v>
      </c>
      <c r="O2877" s="62" t="str">
        <f ca="1" t="shared" si="169"/>
        <v/>
      </c>
      <c r="P2877" s="62"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0">
        <v>45889</v>
      </c>
      <c r="D2878" s="40" t="str">
        <f>VLOOKUP(B2878,辅助信息!E:K,7,FALSE)</f>
        <v>JWDDCD2025072900121</v>
      </c>
      <c r="E2878" s="40" t="str">
        <f>VLOOKUP(F2878,辅助信息!A:B,2,FALSE)</f>
        <v>螺纹钢</v>
      </c>
      <c r="F2878" s="40" t="s">
        <v>65</v>
      </c>
      <c r="G2878" s="36">
        <v>36</v>
      </c>
      <c r="H2878" s="134">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09" t="str">
        <f>VLOOKUP(B2878,辅助信息!E:J,6,FALSE)</f>
        <v>联系实际收货人（范增云13668153241）现场要求炉批号控制2个以下，超2个不给予签收。提前联系到场规格及数量</v>
      </c>
      <c r="O2878" s="62" t="str">
        <f ca="1" t="shared" si="169"/>
        <v/>
      </c>
      <c r="P2878" s="62"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0">
        <v>45889</v>
      </c>
      <c r="D2879" s="40" t="str">
        <f>VLOOKUP(B2879,辅助信息!E:K,7,FALSE)</f>
        <v>JWDDCD2025072900121</v>
      </c>
      <c r="E2879" s="40" t="str">
        <f>VLOOKUP(F2879,辅助信息!A:B,2,FALSE)</f>
        <v>螺纹钢</v>
      </c>
      <c r="F2879" s="40" t="s">
        <v>52</v>
      </c>
      <c r="G2879" s="36">
        <v>3</v>
      </c>
      <c r="H2879" s="134">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09" t="str">
        <f>VLOOKUP(B2879,辅助信息!E:J,6,FALSE)</f>
        <v>联系实际收货人（范增云13668153241）现场要求炉批号控制2个以下，超2个不给予签收。提前联系到场规格及数量</v>
      </c>
      <c r="O2879" s="62" t="str">
        <f ca="1" t="shared" si="169"/>
        <v/>
      </c>
      <c r="P2879" s="62"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0">
        <v>45889</v>
      </c>
      <c r="D2880" s="40" t="str">
        <f>VLOOKUP(B2880,辅助信息!E:K,7,FALSE)</f>
        <v>JWDDCD2025072900123</v>
      </c>
      <c r="E2880" s="40" t="str">
        <f>VLOOKUP(F2880,辅助信息!A:B,2,FALSE)</f>
        <v>螺纹钢</v>
      </c>
      <c r="F2880" s="40" t="s">
        <v>76</v>
      </c>
      <c r="G2880" s="36">
        <v>3</v>
      </c>
      <c r="H2880" s="134"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09" t="str">
        <f>VLOOKUP(B2880,辅助信息!E:J,6,FALSE)</f>
        <v>联系实际收货人（彭江涛13990276572）现场要求炉批号控制2个以下，超2个不给予签收。提前联系到场规格及数量</v>
      </c>
      <c r="O2880" s="62" t="str">
        <f ca="1" t="shared" si="169"/>
        <v/>
      </c>
      <c r="P2880" s="62"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0">
        <v>45889</v>
      </c>
      <c r="D2881" s="40" t="str">
        <f>VLOOKUP(B2881,辅助信息!E:K,7,FALSE)</f>
        <v>JWDDCD2025072900123</v>
      </c>
      <c r="E2881" s="40" t="str">
        <f>VLOOKUP(F2881,辅助信息!A:B,2,FALSE)</f>
        <v>螺纹钢</v>
      </c>
      <c r="F2881" s="40" t="s">
        <v>199</v>
      </c>
      <c r="G2881" s="36">
        <v>5</v>
      </c>
      <c r="H2881" s="134"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09" t="str">
        <f>VLOOKUP(B2881,辅助信息!E:J,6,FALSE)</f>
        <v>联系实际收货人（彭江涛13990276572）现场要求炉批号控制2个以下，超2个不给予签收。提前联系到场规格及数量</v>
      </c>
      <c r="O2881" s="62" t="str">
        <f ca="1" t="shared" si="169"/>
        <v/>
      </c>
      <c r="P2881" s="62"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0">
        <v>45889</v>
      </c>
      <c r="D2882" s="40" t="str">
        <f>VLOOKUP(B2882,辅助信息!E:K,7,FALSE)</f>
        <v>JWDDCD2025072900123</v>
      </c>
      <c r="E2882" s="40" t="str">
        <f>VLOOKUP(F2882,辅助信息!A:B,2,FALSE)</f>
        <v>螺纹钢</v>
      </c>
      <c r="F2882" s="40" t="s">
        <v>141</v>
      </c>
      <c r="G2882" s="36">
        <v>10</v>
      </c>
      <c r="H2882" s="134">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09" t="str">
        <f>VLOOKUP(B2882,辅助信息!E:J,6,FALSE)</f>
        <v>联系实际收货人（彭江涛13990276572）现场要求炉批号控制2个以下，超2个不给予签收。提前联系到场规格及数量</v>
      </c>
      <c r="O2882" s="62" t="str">
        <f ca="1" t="shared" si="169"/>
        <v/>
      </c>
      <c r="P2882" s="62"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0">
        <v>45889</v>
      </c>
      <c r="D2883" s="40" t="str">
        <f>VLOOKUP(B2883,辅助信息!E:K,7,FALSE)</f>
        <v>JWDDCD2025072900123</v>
      </c>
      <c r="E2883" s="40" t="str">
        <f>VLOOKUP(F2883,辅助信息!A:B,2,FALSE)</f>
        <v>螺纹钢</v>
      </c>
      <c r="F2883" s="40" t="s">
        <v>142</v>
      </c>
      <c r="G2883" s="36">
        <v>47</v>
      </c>
      <c r="H2883" s="134"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09" t="str">
        <f>VLOOKUP(B2883,辅助信息!E:J,6,FALSE)</f>
        <v>联系实际收货人（彭江涛13990276572）现场要求炉批号控制2个以下，超2个不给予签收。提前联系到场规格及数量</v>
      </c>
      <c r="O2883" s="62" t="str">
        <f ca="1" t="shared" si="169"/>
        <v/>
      </c>
      <c r="P2883" s="62"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0">
        <v>45889</v>
      </c>
      <c r="D2884" s="40" t="str">
        <f>VLOOKUP(B2884,辅助信息!E:K,7,FALSE)</f>
        <v>JWDDCD2025072900123</v>
      </c>
      <c r="E2884" s="40" t="str">
        <f>VLOOKUP(F2884,辅助信息!A:B,2,FALSE)</f>
        <v>螺纹钢</v>
      </c>
      <c r="F2884" s="40" t="s">
        <v>205</v>
      </c>
      <c r="G2884" s="36">
        <v>15</v>
      </c>
      <c r="H2884" s="134"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09" t="str">
        <f>VLOOKUP(B2884,辅助信息!E:J,6,FALSE)</f>
        <v>联系实际收货人（彭江涛13990276572）现场要求炉批号控制2个以下，超2个不给予签收。提前联系到场规格及数量</v>
      </c>
      <c r="O2884" s="62" t="str">
        <f ca="1" t="shared" si="169"/>
        <v/>
      </c>
      <c r="P2884" s="62"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0">
        <v>45889</v>
      </c>
      <c r="D2885" s="40" t="str">
        <f>VLOOKUP(B2885,辅助信息!E:K,7,FALSE)</f>
        <v>JWDDCD2025072900123</v>
      </c>
      <c r="E2885" s="40" t="str">
        <f>VLOOKUP(F2885,辅助信息!A:B,2,FALSE)</f>
        <v>螺纹钢</v>
      </c>
      <c r="F2885" s="40" t="s">
        <v>140</v>
      </c>
      <c r="G2885" s="36">
        <v>15</v>
      </c>
      <c r="H2885" s="134"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09" t="str">
        <f>VLOOKUP(B2885,辅助信息!E:J,6,FALSE)</f>
        <v>联系实际收货人（彭江涛13990276572）现场要求炉批号控制2个以下，超2个不给予签收。提前联系到场规格及数量</v>
      </c>
      <c r="O2885" s="62" t="str">
        <f ca="1" t="shared" si="169"/>
        <v/>
      </c>
      <c r="P2885" s="62"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0">
        <v>45889</v>
      </c>
      <c r="D2886" s="40" t="str">
        <f>VLOOKUP(B2886,辅助信息!E:K,7,FALSE)</f>
        <v>JWDDCD2025072900123</v>
      </c>
      <c r="E2886" s="40" t="str">
        <f>VLOOKUP(F2886,辅助信息!A:B,2,FALSE)</f>
        <v>螺纹钢</v>
      </c>
      <c r="F2886" s="40" t="s">
        <v>142</v>
      </c>
      <c r="G2886" s="36">
        <v>25</v>
      </c>
      <c r="H2886" s="134"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09" t="str">
        <f>VLOOKUP(B2886,辅助信息!E:J,6,FALSE)</f>
        <v>联系实际收货人（彭江涛13990276572）现场要求炉批号控制2个以下，超2个不给予签收。提前联系到场规格及数量</v>
      </c>
      <c r="O2886" s="62" t="str">
        <f ca="1" t="shared" si="169"/>
        <v/>
      </c>
      <c r="P2886" s="62"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0">
        <v>45889</v>
      </c>
      <c r="D2887" s="40" t="str">
        <f>VLOOKUP(B2887,辅助信息!E:K,7,FALSE)</f>
        <v>JWDDCD2025072900123</v>
      </c>
      <c r="E2887" s="40" t="str">
        <f>VLOOKUP(F2887,辅助信息!A:B,2,FALSE)</f>
        <v>螺纹钢</v>
      </c>
      <c r="F2887" s="40" t="s">
        <v>200</v>
      </c>
      <c r="G2887" s="36">
        <v>10</v>
      </c>
      <c r="H2887" s="134"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09" t="str">
        <f>VLOOKUP(B2887,辅助信息!E:J,6,FALSE)</f>
        <v>联系实际收货人（彭江涛13990276572）现场要求炉批号控制2个以下，超2个不给予签收。提前联系到场规格及数量</v>
      </c>
      <c r="O2887" s="62" t="str">
        <f ca="1" t="shared" si="169"/>
        <v/>
      </c>
      <c r="P2887" s="62"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0">
        <v>45889</v>
      </c>
      <c r="D2888" s="40" t="str">
        <f>VLOOKUP(B2888,辅助信息!E:K,7,FALSE)</f>
        <v>JWDDCD2025072900123</v>
      </c>
      <c r="E2888" s="40" t="str">
        <f>VLOOKUP(F2888,辅助信息!A:B,2,FALSE)</f>
        <v>螺纹钢</v>
      </c>
      <c r="F2888" s="40" t="s">
        <v>201</v>
      </c>
      <c r="G2888" s="36">
        <v>5</v>
      </c>
      <c r="H2888" s="134">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09" t="str">
        <f>VLOOKUP(B2888,辅助信息!E:J,6,FALSE)</f>
        <v>联系实际收货人（彭江涛13990276572）现场要求炉批号控制2个以下，超2个不给予签收。提前联系到场规格及数量</v>
      </c>
      <c r="O2888" s="62" t="str">
        <f ca="1" t="shared" si="169"/>
        <v/>
      </c>
      <c r="P2888" s="62"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0">
        <v>45889</v>
      </c>
      <c r="D2889" s="40" t="str">
        <f>VLOOKUP(B2889,辅助信息!E:K,7,FALSE)</f>
        <v>JWDDCD2025072900123</v>
      </c>
      <c r="E2889" s="40" t="str">
        <f>VLOOKUP(F2889,辅助信息!A:B,2,FALSE)</f>
        <v>螺纹钢</v>
      </c>
      <c r="F2889" s="40" t="s">
        <v>141</v>
      </c>
      <c r="G2889" s="36">
        <v>10</v>
      </c>
      <c r="H2889" s="134">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09" t="str">
        <f>VLOOKUP(B2889,辅助信息!E:J,6,FALSE)</f>
        <v>联系实际收货人（彭江涛13990276572）现场要求炉批号控制2个以下，超2个不给予签收。提前联系到场规格及数量</v>
      </c>
      <c r="O2889" s="62" t="str">
        <f ca="1" t="shared" si="169"/>
        <v/>
      </c>
      <c r="P2889" s="62"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0">
        <v>45889</v>
      </c>
      <c r="D2890" s="40" t="str">
        <f>VLOOKUP(B2890,辅助信息!E:K,7,FALSE)</f>
        <v>JWDDCD2025072900123</v>
      </c>
      <c r="E2890" s="40" t="str">
        <f>VLOOKUP(F2890,辅助信息!A:B,2,FALSE)</f>
        <v>螺纹钢</v>
      </c>
      <c r="F2890" s="40" t="s">
        <v>200</v>
      </c>
      <c r="G2890" s="36">
        <v>10</v>
      </c>
      <c r="H2890" s="134"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09" t="str">
        <f>VLOOKUP(B2890,辅助信息!E:J,6,FALSE)</f>
        <v>联系实际收货人（彭江涛13990276572）现场要求炉批号控制2个以下，超2个不给予签收。提前联系到场规格及数量</v>
      </c>
      <c r="O2890" s="62" t="str">
        <f ca="1" t="shared" si="169"/>
        <v/>
      </c>
      <c r="P2890" s="62"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0">
        <v>45889</v>
      </c>
      <c r="D2891" s="40" t="str">
        <f>VLOOKUP(B2891,辅助信息!E:K,7,FALSE)</f>
        <v>JWDDCD2025072900123</v>
      </c>
      <c r="E2891" s="40" t="str">
        <f>VLOOKUP(F2891,辅助信息!A:B,2,FALSE)</f>
        <v>螺纹钢</v>
      </c>
      <c r="F2891" s="40" t="s">
        <v>201</v>
      </c>
      <c r="G2891" s="36">
        <v>15</v>
      </c>
      <c r="H2891" s="134">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09" t="str">
        <f>VLOOKUP(B2891,辅助信息!E:J,6,FALSE)</f>
        <v>联系实际收货人（彭江涛13990276572）现场要求炉批号控制2个以下，超2个不给予签收。提前联系到场规格及数量</v>
      </c>
      <c r="O2891" s="62" t="str">
        <f ca="1" t="shared" si="169"/>
        <v/>
      </c>
      <c r="P2891" s="62"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0">
        <v>45889</v>
      </c>
      <c r="D2892" s="40" t="str">
        <f>VLOOKUP(B2892,辅助信息!E:K,7,FALSE)</f>
        <v>JWDDCD2025072900121</v>
      </c>
      <c r="E2892" s="40" t="str">
        <f>VLOOKUP(F2892,辅助信息!A:B,2,FALSE)</f>
        <v>螺纹钢</v>
      </c>
      <c r="F2892" s="40" t="s">
        <v>66</v>
      </c>
      <c r="G2892" s="36">
        <v>10</v>
      </c>
      <c r="H2892" s="134">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09" t="str">
        <f>VLOOKUP(B2892,辅助信息!E:J,6,FALSE)</f>
        <v>联系实际收货人（范增云13668153241）现场要求炉批号控制2个以下，超2个不给予签收。提前联系到场规格及数量</v>
      </c>
      <c r="O2892" s="62" t="str">
        <f ca="1" t="shared" si="169"/>
        <v/>
      </c>
      <c r="P2892" s="62"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0">
        <v>45889</v>
      </c>
      <c r="D2893" s="40" t="str">
        <f>VLOOKUP(B2893,辅助信息!E:K,7,FALSE)</f>
        <v>JWDDCD2025072900121</v>
      </c>
      <c r="E2893" s="40" t="str">
        <f>VLOOKUP(F2893,辅助信息!A:B,2,FALSE)</f>
        <v>螺纹钢</v>
      </c>
      <c r="F2893" s="40" t="s">
        <v>82</v>
      </c>
      <c r="G2893" s="36">
        <v>6</v>
      </c>
      <c r="H2893" s="134">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09" t="str">
        <f>VLOOKUP(B2893,辅助信息!E:J,6,FALSE)</f>
        <v>联系实际收货人（范增云13668153241）现场要求炉批号控制2个以下，超2个不给予签收。提前联系到场规格及数量</v>
      </c>
      <c r="O2893" s="62" t="str">
        <f ca="1" t="shared" si="169"/>
        <v/>
      </c>
      <c r="P2893" s="62"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0">
        <v>45889</v>
      </c>
      <c r="D2894" s="40" t="str">
        <f>VLOOKUP(B2894,辅助信息!E:K,7,FALSE)</f>
        <v>JWDDCD2025072900121</v>
      </c>
      <c r="E2894" s="40" t="str">
        <f>VLOOKUP(F2894,辅助信息!A:B,2,FALSE)</f>
        <v>螺纹钢</v>
      </c>
      <c r="F2894" s="40" t="s">
        <v>45</v>
      </c>
      <c r="G2894" s="36">
        <v>3</v>
      </c>
      <c r="H2894" s="134">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09" t="str">
        <f>VLOOKUP(B2894,辅助信息!E:J,6,FALSE)</f>
        <v>联系实际收货人（范增云13668153241）现场要求炉批号控制2个以下，超2个不给予签收。提前联系到场规格及数量</v>
      </c>
      <c r="O2894" s="62" t="str">
        <f ca="1" t="shared" si="169"/>
        <v/>
      </c>
      <c r="P2894" s="62"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0">
        <v>45889</v>
      </c>
      <c r="D2895" s="40" t="str">
        <f>VLOOKUP(B2895,辅助信息!E:K,7,FALSE)</f>
        <v>JWDDCD2025072900121</v>
      </c>
      <c r="E2895" s="40" t="str">
        <f>VLOOKUP(F2895,辅助信息!A:B,2,FALSE)</f>
        <v>螺纹钢</v>
      </c>
      <c r="F2895" s="40" t="s">
        <v>21</v>
      </c>
      <c r="G2895" s="36">
        <v>3</v>
      </c>
      <c r="H2895" s="134">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09" t="str">
        <f>VLOOKUP(B2895,辅助信息!E:J,6,FALSE)</f>
        <v>联系实际收货人（范增云13668153241）现场要求炉批号控制2个以下，超2个不给予签收。提前联系到场规格及数量</v>
      </c>
      <c r="O2895" s="62" t="str">
        <f ca="1" t="shared" si="169"/>
        <v/>
      </c>
      <c r="P2895" s="62"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0">
        <v>45889</v>
      </c>
      <c r="D2896" s="40" t="str">
        <f>VLOOKUP(B2896,辅助信息!E:K,7,FALSE)</f>
        <v>JWDDCD2025072900121</v>
      </c>
      <c r="E2896" s="40" t="str">
        <f>VLOOKUP(F2896,辅助信息!A:B,2,FALSE)</f>
        <v>螺纹钢</v>
      </c>
      <c r="F2896" s="40" t="s">
        <v>58</v>
      </c>
      <c r="G2896" s="36">
        <v>9</v>
      </c>
      <c r="H2896" s="134">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09" t="str">
        <f>VLOOKUP(B2896,辅助信息!E:J,6,FALSE)</f>
        <v>联系实际收货人（范增云13668153241）现场要求炉批号控制2个以下，超2个不给予签收。提前联系到场规格及数量</v>
      </c>
      <c r="O2896" s="62" t="str">
        <f ca="1" t="shared" si="169"/>
        <v/>
      </c>
      <c r="P2896" s="62"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0">
        <v>45889</v>
      </c>
      <c r="D2897" s="40" t="str">
        <f>VLOOKUP(B2897,辅助信息!E:K,7,FALSE)</f>
        <v>JWDDCD2025072900121</v>
      </c>
      <c r="E2897" s="40" t="str">
        <f>VLOOKUP(F2897,辅助信息!A:B,2,FALSE)</f>
        <v>螺纹钢</v>
      </c>
      <c r="F2897" s="40" t="s">
        <v>46</v>
      </c>
      <c r="G2897" s="36">
        <v>18</v>
      </c>
      <c r="H2897" s="134">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09" t="str">
        <f>VLOOKUP(B2897,辅助信息!E:J,6,FALSE)</f>
        <v>联系实际收货人（范增云13668153241）现场要求炉批号控制2个以下，超2个不给予签收。提前联系到场规格及数量</v>
      </c>
      <c r="O2897" s="62" t="str">
        <f ca="1" t="shared" si="169"/>
        <v/>
      </c>
      <c r="P2897" s="62"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0">
        <v>45889</v>
      </c>
      <c r="D2898" s="40" t="str">
        <f>VLOOKUP(B2898,辅助信息!E:K,7,FALSE)</f>
        <v>JWDDCD2025072900121</v>
      </c>
      <c r="E2898" s="40" t="str">
        <f>VLOOKUP(F2898,辅助信息!A:B,2,FALSE)</f>
        <v>螺纹钢</v>
      </c>
      <c r="F2898" s="40" t="s">
        <v>22</v>
      </c>
      <c r="G2898" s="36">
        <v>30</v>
      </c>
      <c r="H2898" s="134">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09" t="str">
        <f>VLOOKUP(B2898,辅助信息!E:J,6,FALSE)</f>
        <v>联系实际收货人（范增云13668153241）现场要求炉批号控制2个以下，超2个不给予签收。提前联系到场规格及数量</v>
      </c>
      <c r="O2898" s="62" t="str">
        <f ca="1" t="shared" si="169"/>
        <v/>
      </c>
      <c r="P2898" s="62"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0">
        <v>45889</v>
      </c>
      <c r="D2899" s="40" t="str">
        <f>VLOOKUP(B2899,辅助信息!E:K,7,FALSE)</f>
        <v>JWDDCD2025072900121</v>
      </c>
      <c r="E2899" s="40" t="str">
        <f>VLOOKUP(F2899,辅助信息!A:B,2,FALSE)</f>
        <v>螺纹钢</v>
      </c>
      <c r="F2899" s="40" t="s">
        <v>181</v>
      </c>
      <c r="G2899" s="36">
        <v>23</v>
      </c>
      <c r="H2899" s="134">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09" t="str">
        <f>VLOOKUP(B2899,辅助信息!E:J,6,FALSE)</f>
        <v>联系实际收货人（范增云13668153241）现场要求炉批号控制2个以下，超2个不给予签收。提前联系到场规格及数量</v>
      </c>
      <c r="O2899" s="62" t="str">
        <f ca="1" t="shared" si="169"/>
        <v/>
      </c>
      <c r="P2899" s="62"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0">
        <v>45889</v>
      </c>
      <c r="D2900" s="40" t="str">
        <f>VLOOKUP(B2900,辅助信息!E:K,7,FALSE)</f>
        <v>JWDDCD2025072900121</v>
      </c>
      <c r="E2900" s="40" t="str">
        <f>VLOOKUP(F2900,辅助信息!A:B,2,FALSE)</f>
        <v>螺纹钢</v>
      </c>
      <c r="F2900" s="40" t="s">
        <v>182</v>
      </c>
      <c r="G2900" s="36">
        <v>3</v>
      </c>
      <c r="H2900" s="134">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09" t="str">
        <f>VLOOKUP(B2900,辅助信息!E:J,6,FALSE)</f>
        <v>联系实际收货人（范增云13668153241）现场要求炉批号控制2个以下，超2个不给予签收。提前联系到场规格及数量</v>
      </c>
      <c r="O2900" s="62" t="str">
        <f ca="1" t="shared" si="169"/>
        <v/>
      </c>
      <c r="P2900" s="62"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7"/>
      <c r="B2901" s="120" t="s">
        <v>187</v>
      </c>
      <c r="C2901" s="70">
        <v>45890</v>
      </c>
      <c r="D2901" s="120" t="str">
        <f>VLOOKUP(B2901,辅助信息!E:K,7,FALSE)</f>
        <v>JWDDCD2025072900121</v>
      </c>
      <c r="E2901" s="120" t="str">
        <f>VLOOKUP(F2901,辅助信息!A:B,2,FALSE)</f>
        <v>高线</v>
      </c>
      <c r="F2901" s="120" t="s">
        <v>57</v>
      </c>
      <c r="G2901" s="121">
        <v>20</v>
      </c>
      <c r="H2901" s="134" t="str">
        <f>_xlfn.XLOOKUP(C2901&amp;F2901&amp;I2901&amp;J2901,'[1]2025年已发货'!$F:$F&amp;'[1]2025年已发货'!$C:$C&amp;'[1]2025年已发货'!$G:$G&amp;'[1]2025年已发货'!$H:$H,'[1]2025年已发货'!$E:$E,"未发货")</f>
        <v>未发货</v>
      </c>
      <c r="I2901" s="120" t="str">
        <f>VLOOKUP(B2901,辅助信息!E:I,3,FALSE)</f>
        <v>(乐山市校地共建产教融合基地建设项目一标段)四川省乐山市市中区苏稽镇周山嘴</v>
      </c>
      <c r="J2901" s="120" t="str">
        <f>VLOOKUP(B2901,辅助信息!E:I,4,FALSE)</f>
        <v>范增云</v>
      </c>
      <c r="K2901" s="120">
        <f>VLOOKUP(J2901,辅助信息!H:I,2,FALSE)</f>
        <v>13668153241</v>
      </c>
      <c r="L2901" s="122" t="str">
        <f>VLOOKUP(B2901,辅助信息!E:J,6,FALSE)</f>
        <v>联系实际收货人（范增云13668153241）现场要求炉批号控制2个以下，超2个不给予签收。提前联系到场规格及数量</v>
      </c>
      <c r="M2901" s="91">
        <v>45870</v>
      </c>
      <c r="N2901" s="62"/>
      <c r="O2901" s="62">
        <f ca="1" t="shared" ref="O2892:O2955" si="171">IF(OR(M2901="",N2901&lt;&gt;""),"",MAX(M2901-TODAY(),0))</f>
        <v>0</v>
      </c>
      <c r="P2901" s="62">
        <f ca="1" t="shared" ref="P2892:P2955" si="172">IF(M2901="","",IF(N2901&lt;&gt;"",MAX(N2901-M2901,0),IF(TODAY()&gt;M2901,TODAY()-M2901,0)))</f>
        <v>90</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7"/>
      <c r="B2902" s="120" t="s">
        <v>187</v>
      </c>
      <c r="C2902" s="70">
        <v>45890</v>
      </c>
      <c r="D2902" s="120" t="str">
        <f>VLOOKUP(B2902,辅助信息!E:K,7,FALSE)</f>
        <v>JWDDCD2025072900121</v>
      </c>
      <c r="E2902" s="120" t="str">
        <f>VLOOKUP(F2902,辅助信息!A:B,2,FALSE)</f>
        <v>盘螺</v>
      </c>
      <c r="F2902" s="120" t="s">
        <v>49</v>
      </c>
      <c r="G2902" s="121">
        <v>2</v>
      </c>
      <c r="H2902" s="134">
        <f>_xlfn.XLOOKUP(C2902&amp;F2902&amp;I2902&amp;J2902,'[1]2025年已发货'!$F:$F&amp;'[1]2025年已发货'!$C:$C&amp;'[1]2025年已发货'!$G:$G&amp;'[1]2025年已发货'!$H:$H,'[1]2025年已发货'!$E:$E,"未发货")</f>
        <v>2</v>
      </c>
      <c r="I2902" s="120" t="str">
        <f>VLOOKUP(B2902,辅助信息!E:I,3,FALSE)</f>
        <v>(乐山市校地共建产教融合基地建设项目一标段)四川省乐山市市中区苏稽镇周山嘴</v>
      </c>
      <c r="J2902" s="120" t="str">
        <f>VLOOKUP(B2902,辅助信息!E:I,4,FALSE)</f>
        <v>范增云</v>
      </c>
      <c r="K2902" s="120">
        <f>VLOOKUP(J2902,辅助信息!H:I,2,FALSE)</f>
        <v>13668153241</v>
      </c>
      <c r="L2902" s="122" t="str">
        <f>VLOOKUP(B2902,辅助信息!E:J,6,FALSE)</f>
        <v>联系实际收货人（范增云13668153241）现场要求炉批号控制2个以下，超2个不给予签收。提前联系到场规格及数量</v>
      </c>
      <c r="M2902" s="91">
        <v>45870</v>
      </c>
      <c r="N2902" s="62"/>
      <c r="O2902" s="62">
        <f ca="1" t="shared" si="171"/>
        <v>0</v>
      </c>
      <c r="P2902" s="62">
        <f ca="1" t="shared" si="172"/>
        <v>90</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7"/>
      <c r="B2903" s="120" t="s">
        <v>187</v>
      </c>
      <c r="C2903" s="70">
        <v>45890</v>
      </c>
      <c r="D2903" s="120" t="str">
        <f>VLOOKUP(B2903,辅助信息!E:K,7,FALSE)</f>
        <v>JWDDCD2025072900121</v>
      </c>
      <c r="E2903" s="120" t="str">
        <f>VLOOKUP(F2903,辅助信息!A:B,2,FALSE)</f>
        <v>盘螺</v>
      </c>
      <c r="F2903" s="120" t="s">
        <v>40</v>
      </c>
      <c r="G2903" s="121">
        <v>10</v>
      </c>
      <c r="H2903" s="134">
        <f>_xlfn.XLOOKUP(C2903&amp;F2903&amp;I2903&amp;J2903,'[1]2025年已发货'!$F:$F&amp;'[1]2025年已发货'!$C:$C&amp;'[1]2025年已发货'!$G:$G&amp;'[1]2025年已发货'!$H:$H,'[1]2025年已发货'!$E:$E,"未发货")</f>
        <v>10</v>
      </c>
      <c r="I2903" s="120" t="str">
        <f>VLOOKUP(B2903,辅助信息!E:I,3,FALSE)</f>
        <v>(乐山市校地共建产教融合基地建设项目一标段)四川省乐山市市中区苏稽镇周山嘴</v>
      </c>
      <c r="J2903" s="120" t="str">
        <f>VLOOKUP(B2903,辅助信息!E:I,4,FALSE)</f>
        <v>范增云</v>
      </c>
      <c r="K2903" s="120">
        <f>VLOOKUP(J2903,辅助信息!H:I,2,FALSE)</f>
        <v>13668153241</v>
      </c>
      <c r="L2903" s="122" t="str">
        <f>VLOOKUP(B2903,辅助信息!E:J,6,FALSE)</f>
        <v>联系实际收货人（范增云13668153241）现场要求炉批号控制2个以下，超2个不给予签收。提前联系到场规格及数量</v>
      </c>
      <c r="M2903" s="91">
        <v>45870</v>
      </c>
      <c r="N2903" s="62"/>
      <c r="O2903" s="62">
        <f ca="1" t="shared" si="171"/>
        <v>0</v>
      </c>
      <c r="P2903" s="62">
        <f ca="1" t="shared" si="172"/>
        <v>90</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7"/>
      <c r="B2904" s="120" t="s">
        <v>187</v>
      </c>
      <c r="C2904" s="70">
        <v>45890</v>
      </c>
      <c r="D2904" s="120" t="str">
        <f>VLOOKUP(B2904,辅助信息!E:K,7,FALSE)</f>
        <v>JWDDCD2025072900121</v>
      </c>
      <c r="E2904" s="120" t="str">
        <f>VLOOKUP(F2904,辅助信息!A:B,2,FALSE)</f>
        <v>盘螺</v>
      </c>
      <c r="F2904" s="120" t="s">
        <v>41</v>
      </c>
      <c r="G2904" s="121">
        <v>20</v>
      </c>
      <c r="H2904" s="134">
        <v>20</v>
      </c>
      <c r="I2904" s="120" t="str">
        <f>VLOOKUP(B2904,辅助信息!E:I,3,FALSE)</f>
        <v>(乐山市校地共建产教融合基地建设项目一标段)四川省乐山市市中区苏稽镇周山嘴</v>
      </c>
      <c r="J2904" s="120" t="str">
        <f>VLOOKUP(B2904,辅助信息!E:I,4,FALSE)</f>
        <v>范增云</v>
      </c>
      <c r="K2904" s="120">
        <f>VLOOKUP(J2904,辅助信息!H:I,2,FALSE)</f>
        <v>13668153241</v>
      </c>
      <c r="L2904" s="122" t="str">
        <f>VLOOKUP(B2904,辅助信息!E:J,6,FALSE)</f>
        <v>联系实际收货人（范增云13668153241）现场要求炉批号控制2个以下，超2个不给予签收。提前联系到场规格及数量</v>
      </c>
      <c r="M2904" s="91">
        <v>45870</v>
      </c>
      <c r="N2904" s="62"/>
      <c r="O2904" s="62">
        <f ca="1" t="shared" si="171"/>
        <v>0</v>
      </c>
      <c r="P2904" s="62">
        <f ca="1" t="shared" si="172"/>
        <v>90</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7"/>
      <c r="B2905" s="120" t="s">
        <v>187</v>
      </c>
      <c r="C2905" s="70">
        <v>45890</v>
      </c>
      <c r="D2905" s="120" t="str">
        <f>VLOOKUP(B2905,辅助信息!E:K,7,FALSE)</f>
        <v>JWDDCD2025072900121</v>
      </c>
      <c r="E2905" s="120" t="str">
        <f>VLOOKUP(F2905,辅助信息!A:B,2,FALSE)</f>
        <v>盘螺</v>
      </c>
      <c r="F2905" s="120" t="s">
        <v>26</v>
      </c>
      <c r="G2905" s="121">
        <v>30</v>
      </c>
      <c r="H2905" s="134">
        <f>_xlfn.XLOOKUP(C2905&amp;F2905&amp;I2905&amp;J2905,'[1]2025年已发货'!$F:$F&amp;'[1]2025年已发货'!$C:$C&amp;'[1]2025年已发货'!$G:$G&amp;'[1]2025年已发货'!$H:$H,'[1]2025年已发货'!$E:$E,"未发货")</f>
        <v>30</v>
      </c>
      <c r="I2905" s="120" t="str">
        <f>VLOOKUP(B2905,辅助信息!E:I,3,FALSE)</f>
        <v>(乐山市校地共建产教融合基地建设项目一标段)四川省乐山市市中区苏稽镇周山嘴</v>
      </c>
      <c r="J2905" s="120" t="str">
        <f>VLOOKUP(B2905,辅助信息!E:I,4,FALSE)</f>
        <v>范增云</v>
      </c>
      <c r="K2905" s="120">
        <f>VLOOKUP(J2905,辅助信息!H:I,2,FALSE)</f>
        <v>13668153241</v>
      </c>
      <c r="L2905" s="122" t="str">
        <f>VLOOKUP(B2905,辅助信息!E:J,6,FALSE)</f>
        <v>联系实际收货人（范增云13668153241）现场要求炉批号控制2个以下，超2个不给予签收。提前联系到场规格及数量</v>
      </c>
      <c r="M2905" s="91">
        <v>45870</v>
      </c>
      <c r="N2905" s="62"/>
      <c r="O2905" s="62">
        <f ca="1" t="shared" si="171"/>
        <v>0</v>
      </c>
      <c r="P2905" s="62">
        <f ca="1" t="shared" si="172"/>
        <v>90</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7"/>
      <c r="B2906" s="120" t="s">
        <v>187</v>
      </c>
      <c r="C2906" s="70">
        <v>45890</v>
      </c>
      <c r="D2906" s="120" t="str">
        <f>VLOOKUP(B2906,辅助信息!E:K,7,FALSE)</f>
        <v>JWDDCD2025072900121</v>
      </c>
      <c r="E2906" s="120" t="str">
        <f>VLOOKUP(F2906,辅助信息!A:B,2,FALSE)</f>
        <v>螺纹钢</v>
      </c>
      <c r="F2906" s="120" t="s">
        <v>65</v>
      </c>
      <c r="G2906" s="121">
        <v>22</v>
      </c>
      <c r="H2906" s="134">
        <f>_xlfn.XLOOKUP(C2906&amp;F2906&amp;I2906&amp;J2906,'[1]2025年已发货'!$F:$F&amp;'[1]2025年已发货'!$C:$C&amp;'[1]2025年已发货'!$G:$G&amp;'[1]2025年已发货'!$H:$H,'[1]2025年已发货'!$E:$E,"未发货")</f>
        <v>22</v>
      </c>
      <c r="I2906" s="120" t="str">
        <f>VLOOKUP(B2906,辅助信息!E:I,3,FALSE)</f>
        <v>(乐山市校地共建产教融合基地建设项目一标段)四川省乐山市市中区苏稽镇周山嘴</v>
      </c>
      <c r="J2906" s="120" t="str">
        <f>VLOOKUP(B2906,辅助信息!E:I,4,FALSE)</f>
        <v>范增云</v>
      </c>
      <c r="K2906" s="120">
        <f>VLOOKUP(J2906,辅助信息!H:I,2,FALSE)</f>
        <v>13668153241</v>
      </c>
      <c r="L2906" s="122" t="str">
        <f>VLOOKUP(B2906,辅助信息!E:J,6,FALSE)</f>
        <v>联系实际收货人（范增云13668153241）现场要求炉批号控制2个以下，超2个不给予签收。提前联系到场规格及数量</v>
      </c>
      <c r="M2906" s="91">
        <v>45870</v>
      </c>
      <c r="N2906" s="62"/>
      <c r="O2906" s="62">
        <f ca="1" t="shared" si="171"/>
        <v>0</v>
      </c>
      <c r="P2906" s="62">
        <f ca="1" t="shared" si="172"/>
        <v>90</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7"/>
      <c r="B2907" s="120" t="s">
        <v>187</v>
      </c>
      <c r="C2907" s="70">
        <v>45890</v>
      </c>
      <c r="D2907" s="120" t="str">
        <f>VLOOKUP(B2907,辅助信息!E:K,7,FALSE)</f>
        <v>JWDDCD2025072900121</v>
      </c>
      <c r="E2907" s="120" t="str">
        <f>VLOOKUP(F2907,辅助信息!A:B,2,FALSE)</f>
        <v>螺纹钢</v>
      </c>
      <c r="F2907" s="120" t="s">
        <v>28</v>
      </c>
      <c r="G2907" s="121">
        <v>18</v>
      </c>
      <c r="H2907" s="134">
        <v>18</v>
      </c>
      <c r="I2907" s="120" t="str">
        <f>VLOOKUP(B2907,辅助信息!E:I,3,FALSE)</f>
        <v>(乐山市校地共建产教融合基地建设项目一标段)四川省乐山市市中区苏稽镇周山嘴</v>
      </c>
      <c r="J2907" s="120" t="str">
        <f>VLOOKUP(B2907,辅助信息!E:I,4,FALSE)</f>
        <v>范增云</v>
      </c>
      <c r="K2907" s="120">
        <f>VLOOKUP(J2907,辅助信息!H:I,2,FALSE)</f>
        <v>13668153241</v>
      </c>
      <c r="L2907" s="122" t="str">
        <f>VLOOKUP(B2907,辅助信息!E:J,6,FALSE)</f>
        <v>联系实际收货人（范增云13668153241）现场要求炉批号控制2个以下，超2个不给予签收。提前联系到场规格及数量</v>
      </c>
      <c r="M2907" s="91">
        <v>45870</v>
      </c>
      <c r="N2907" s="62"/>
      <c r="O2907" s="62">
        <f ca="1" t="shared" si="171"/>
        <v>0</v>
      </c>
      <c r="P2907" s="62">
        <f ca="1" t="shared" si="172"/>
        <v>90</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7"/>
      <c r="B2908" s="120" t="s">
        <v>186</v>
      </c>
      <c r="C2908" s="70">
        <v>45890</v>
      </c>
      <c r="D2908" s="120" t="str">
        <f>VLOOKUP(B2908,辅助信息!E:K,7,FALSE)</f>
        <v>JWDDCD2025072900123</v>
      </c>
      <c r="E2908" s="120" t="str">
        <f>VLOOKUP(F2908,辅助信息!A:B,2,FALSE)</f>
        <v>螺纹钢</v>
      </c>
      <c r="F2908" s="120" t="s">
        <v>76</v>
      </c>
      <c r="G2908" s="121">
        <v>3</v>
      </c>
      <c r="H2908" s="134">
        <f>_xlfn.XLOOKUP(C2908&amp;F2908&amp;I2908&amp;J2908,'[1]2025年已发货'!$F:$F&amp;'[1]2025年已发货'!$C:$C&amp;'[1]2025年已发货'!$G:$G&amp;'[1]2025年已发货'!$H:$H,'[1]2025年已发货'!$E:$E,"未发货")</f>
        <v>24</v>
      </c>
      <c r="I2908" s="120" t="str">
        <f>VLOOKUP(B2908,辅助信息!E:I,3,FALSE)</f>
        <v>(乐山市校地共建产教融合基地建设项目二标段)四川省乐山市市中区苏稽镇</v>
      </c>
      <c r="J2908" s="120" t="str">
        <f>VLOOKUP(B2908,辅助信息!E:I,4,FALSE)</f>
        <v>彭江涛</v>
      </c>
      <c r="K2908" s="120">
        <f>VLOOKUP(J2908,辅助信息!H:I,2,FALSE)</f>
        <v>13990276572</v>
      </c>
      <c r="L2908" s="122" t="str">
        <f>VLOOKUP(B2908,辅助信息!E:J,6,FALSE)</f>
        <v>联系实际收货人（彭江涛13990276572）现场要求炉批号控制2个以下，超2个不给予签收。提前联系到场规格及数量</v>
      </c>
      <c r="M2908" s="91">
        <v>45870</v>
      </c>
      <c r="N2908" s="62"/>
      <c r="O2908" s="62">
        <f ca="1" t="shared" si="171"/>
        <v>0</v>
      </c>
      <c r="P2908" s="62">
        <f ca="1" t="shared" si="172"/>
        <v>90</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7"/>
      <c r="B2909" s="120" t="s">
        <v>186</v>
      </c>
      <c r="C2909" s="70">
        <v>45890</v>
      </c>
      <c r="D2909" s="120" t="str">
        <f>VLOOKUP(B2909,辅助信息!E:K,7,FALSE)</f>
        <v>JWDDCD2025072900123</v>
      </c>
      <c r="E2909" s="120" t="str">
        <f>VLOOKUP(F2909,辅助信息!A:B,2,FALSE)</f>
        <v>螺纹钢</v>
      </c>
      <c r="F2909" s="120" t="s">
        <v>199</v>
      </c>
      <c r="G2909" s="121">
        <v>5</v>
      </c>
      <c r="H2909" s="134">
        <f>_xlfn.XLOOKUP(C2909&amp;F2909&amp;I2909&amp;J2909,'[1]2025年已发货'!$F:$F&amp;'[1]2025年已发货'!$C:$C&amp;'[1]2025年已发货'!$G:$G&amp;'[1]2025年已发货'!$H:$H,'[1]2025年已发货'!$E:$E,"未发货")</f>
        <v>5</v>
      </c>
      <c r="I2909" s="120" t="str">
        <f>VLOOKUP(B2909,辅助信息!E:I,3,FALSE)</f>
        <v>(乐山市校地共建产教融合基地建设项目二标段)四川省乐山市市中区苏稽镇</v>
      </c>
      <c r="J2909" s="120" t="str">
        <f>VLOOKUP(B2909,辅助信息!E:I,4,FALSE)</f>
        <v>彭江涛</v>
      </c>
      <c r="K2909" s="120">
        <f>VLOOKUP(J2909,辅助信息!H:I,2,FALSE)</f>
        <v>13990276572</v>
      </c>
      <c r="L2909" s="122" t="str">
        <f>VLOOKUP(B2909,辅助信息!E:J,6,FALSE)</f>
        <v>联系实际收货人（彭江涛13990276572）现场要求炉批号控制2个以下，超2个不给予签收。提前联系到场规格及数量</v>
      </c>
      <c r="M2909" s="91">
        <v>45870</v>
      </c>
      <c r="N2909" s="62"/>
      <c r="O2909" s="62">
        <f ca="1" t="shared" si="171"/>
        <v>0</v>
      </c>
      <c r="P2909" s="62">
        <f ca="1" t="shared" si="172"/>
        <v>90</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7"/>
      <c r="B2910" s="120" t="s">
        <v>186</v>
      </c>
      <c r="C2910" s="70">
        <v>45890</v>
      </c>
      <c r="D2910" s="120" t="str">
        <f>VLOOKUP(B2910,辅助信息!E:K,7,FALSE)</f>
        <v>JWDDCD2025072900123</v>
      </c>
      <c r="E2910" s="120" t="str">
        <f>VLOOKUP(F2910,辅助信息!A:B,2,FALSE)</f>
        <v>螺纹钢</v>
      </c>
      <c r="F2910" s="120" t="s">
        <v>142</v>
      </c>
      <c r="G2910" s="121">
        <v>47</v>
      </c>
      <c r="H2910" s="134" t="str">
        <f>_xlfn.XLOOKUP(C2910&amp;F2910&amp;I2910&amp;J2910,'[1]2025年已发货'!$F:$F&amp;'[1]2025年已发货'!$C:$C&amp;'[1]2025年已发货'!$G:$G&amp;'[1]2025年已发货'!$H:$H,'[1]2025年已发货'!$E:$E,"未发货")</f>
        <v>未发货</v>
      </c>
      <c r="I2910" s="120" t="str">
        <f>VLOOKUP(B2910,辅助信息!E:I,3,FALSE)</f>
        <v>(乐山市校地共建产教融合基地建设项目二标段)四川省乐山市市中区苏稽镇</v>
      </c>
      <c r="J2910" s="120" t="str">
        <f>VLOOKUP(B2910,辅助信息!E:I,4,FALSE)</f>
        <v>彭江涛</v>
      </c>
      <c r="K2910" s="120">
        <f>VLOOKUP(J2910,辅助信息!H:I,2,FALSE)</f>
        <v>13990276572</v>
      </c>
      <c r="L2910" s="122" t="str">
        <f>VLOOKUP(B2910,辅助信息!E:J,6,FALSE)</f>
        <v>联系实际收货人（彭江涛13990276572）现场要求炉批号控制2个以下，超2个不给予签收。提前联系到场规格及数量</v>
      </c>
      <c r="M2910" s="91">
        <v>45870</v>
      </c>
      <c r="N2910" s="62"/>
      <c r="O2910" s="62">
        <f ca="1" t="shared" si="171"/>
        <v>0</v>
      </c>
      <c r="P2910" s="62">
        <f ca="1" t="shared" si="172"/>
        <v>90</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7"/>
      <c r="B2911" s="120" t="s">
        <v>186</v>
      </c>
      <c r="C2911" s="70">
        <v>45890</v>
      </c>
      <c r="D2911" s="120" t="str">
        <f>VLOOKUP(B2911,辅助信息!E:K,7,FALSE)</f>
        <v>JWDDCD2025072900123</v>
      </c>
      <c r="E2911" s="120" t="str">
        <f>VLOOKUP(F2911,辅助信息!A:B,2,FALSE)</f>
        <v>螺纹钢</v>
      </c>
      <c r="F2911" s="120" t="s">
        <v>205</v>
      </c>
      <c r="G2911" s="121">
        <v>15</v>
      </c>
      <c r="H2911" s="134">
        <f>_xlfn.XLOOKUP(C2911&amp;F2911&amp;I2911&amp;J2911,'[1]2025年已发货'!$F:$F&amp;'[1]2025年已发货'!$C:$C&amp;'[1]2025年已发货'!$G:$G&amp;'[1]2025年已发货'!$H:$H,'[1]2025年已发货'!$E:$E,"未发货")</f>
        <v>20</v>
      </c>
      <c r="I2911" s="120" t="str">
        <f>VLOOKUP(B2911,辅助信息!E:I,3,FALSE)</f>
        <v>(乐山市校地共建产教融合基地建设项目二标段)四川省乐山市市中区苏稽镇</v>
      </c>
      <c r="J2911" s="120" t="str">
        <f>VLOOKUP(B2911,辅助信息!E:I,4,FALSE)</f>
        <v>彭江涛</v>
      </c>
      <c r="K2911" s="120">
        <f>VLOOKUP(J2911,辅助信息!H:I,2,FALSE)</f>
        <v>13990276572</v>
      </c>
      <c r="L2911" s="122" t="str">
        <f>VLOOKUP(B2911,辅助信息!E:J,6,FALSE)</f>
        <v>联系实际收货人（彭江涛13990276572）现场要求炉批号控制2个以下，超2个不给予签收。提前联系到场规格及数量</v>
      </c>
      <c r="M2911" s="91">
        <v>45870</v>
      </c>
      <c r="N2911" s="62"/>
      <c r="O2911" s="62">
        <f ca="1" t="shared" si="171"/>
        <v>0</v>
      </c>
      <c r="P2911" s="62">
        <f ca="1" t="shared" si="172"/>
        <v>90</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7"/>
      <c r="B2912" s="120" t="s">
        <v>186</v>
      </c>
      <c r="C2912" s="70">
        <v>45890</v>
      </c>
      <c r="D2912" s="120" t="str">
        <f>VLOOKUP(B2912,辅助信息!E:K,7,FALSE)</f>
        <v>JWDDCD2025072900123</v>
      </c>
      <c r="E2912" s="120" t="str">
        <f>VLOOKUP(F2912,辅助信息!A:B,2,FALSE)</f>
        <v>螺纹钢</v>
      </c>
      <c r="F2912" s="120" t="s">
        <v>140</v>
      </c>
      <c r="G2912" s="121">
        <v>15</v>
      </c>
      <c r="H2912" s="134" t="str">
        <f>_xlfn.XLOOKUP(C2912&amp;F2912&amp;I2912&amp;J2912,'[1]2025年已发货'!$F:$F&amp;'[1]2025年已发货'!$C:$C&amp;'[1]2025年已发货'!$G:$G&amp;'[1]2025年已发货'!$H:$H,'[1]2025年已发货'!$E:$E,"未发货")</f>
        <v>未发货</v>
      </c>
      <c r="I2912" s="120" t="str">
        <f>VLOOKUP(B2912,辅助信息!E:I,3,FALSE)</f>
        <v>(乐山市校地共建产教融合基地建设项目二标段)四川省乐山市市中区苏稽镇</v>
      </c>
      <c r="J2912" s="120" t="str">
        <f>VLOOKUP(B2912,辅助信息!E:I,4,FALSE)</f>
        <v>彭江涛</v>
      </c>
      <c r="K2912" s="120">
        <f>VLOOKUP(J2912,辅助信息!H:I,2,FALSE)</f>
        <v>13990276572</v>
      </c>
      <c r="L2912" s="122" t="str">
        <f>VLOOKUP(B2912,辅助信息!E:J,6,FALSE)</f>
        <v>联系实际收货人（彭江涛13990276572）现场要求炉批号控制2个以下，超2个不给予签收。提前联系到场规格及数量</v>
      </c>
      <c r="M2912" s="91">
        <v>45870</v>
      </c>
      <c r="N2912" s="62"/>
      <c r="O2912" s="62">
        <f ca="1" t="shared" si="171"/>
        <v>0</v>
      </c>
      <c r="P2912" s="62">
        <f ca="1" t="shared" si="172"/>
        <v>90</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7"/>
      <c r="B2913" s="120" t="s">
        <v>186</v>
      </c>
      <c r="C2913" s="70">
        <v>45890</v>
      </c>
      <c r="D2913" s="120" t="str">
        <f>VLOOKUP(B2913,辅助信息!E:K,7,FALSE)</f>
        <v>JWDDCD2025072900123</v>
      </c>
      <c r="E2913" s="120" t="str">
        <f>VLOOKUP(F2913,辅助信息!A:B,2,FALSE)</f>
        <v>螺纹钢</v>
      </c>
      <c r="F2913" s="120" t="s">
        <v>142</v>
      </c>
      <c r="G2913" s="121">
        <v>25</v>
      </c>
      <c r="H2913" s="134" t="str">
        <f>_xlfn.XLOOKUP(C2913&amp;F2913&amp;I2913&amp;J2913,'[1]2025年已发货'!$F:$F&amp;'[1]2025年已发货'!$C:$C&amp;'[1]2025年已发货'!$G:$G&amp;'[1]2025年已发货'!$H:$H,'[1]2025年已发货'!$E:$E,"未发货")</f>
        <v>未发货</v>
      </c>
      <c r="I2913" s="120" t="str">
        <f>VLOOKUP(B2913,辅助信息!E:I,3,FALSE)</f>
        <v>(乐山市校地共建产教融合基地建设项目二标段)四川省乐山市市中区苏稽镇</v>
      </c>
      <c r="J2913" s="120" t="str">
        <f>VLOOKUP(B2913,辅助信息!E:I,4,FALSE)</f>
        <v>彭江涛</v>
      </c>
      <c r="K2913" s="120">
        <f>VLOOKUP(J2913,辅助信息!H:I,2,FALSE)</f>
        <v>13990276572</v>
      </c>
      <c r="L2913" s="122" t="str">
        <f>VLOOKUP(B2913,辅助信息!E:J,6,FALSE)</f>
        <v>联系实际收货人（彭江涛13990276572）现场要求炉批号控制2个以下，超2个不给予签收。提前联系到场规格及数量</v>
      </c>
      <c r="M2913" s="91">
        <v>45870</v>
      </c>
      <c r="N2913" s="62"/>
      <c r="O2913" s="62">
        <f ca="1" t="shared" si="171"/>
        <v>0</v>
      </c>
      <c r="P2913" s="62">
        <f ca="1" t="shared" si="172"/>
        <v>90</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7"/>
      <c r="B2914" s="120" t="s">
        <v>186</v>
      </c>
      <c r="C2914" s="70">
        <v>45890</v>
      </c>
      <c r="D2914" s="120" t="str">
        <f>VLOOKUP(B2914,辅助信息!E:K,7,FALSE)</f>
        <v>JWDDCD2025072900123</v>
      </c>
      <c r="E2914" s="120" t="str">
        <f>VLOOKUP(F2914,辅助信息!A:B,2,FALSE)</f>
        <v>螺纹钢</v>
      </c>
      <c r="F2914" s="120" t="s">
        <v>200</v>
      </c>
      <c r="G2914" s="121">
        <v>10</v>
      </c>
      <c r="H2914" s="134">
        <v>10</v>
      </c>
      <c r="I2914" s="120" t="str">
        <f>VLOOKUP(B2914,辅助信息!E:I,3,FALSE)</f>
        <v>(乐山市校地共建产教融合基地建设项目二标段)四川省乐山市市中区苏稽镇</v>
      </c>
      <c r="J2914" s="120" t="str">
        <f>VLOOKUP(B2914,辅助信息!E:I,4,FALSE)</f>
        <v>彭江涛</v>
      </c>
      <c r="K2914" s="120">
        <f>VLOOKUP(J2914,辅助信息!H:I,2,FALSE)</f>
        <v>13990276572</v>
      </c>
      <c r="L2914" s="122" t="str">
        <f>VLOOKUP(B2914,辅助信息!E:J,6,FALSE)</f>
        <v>联系实际收货人（彭江涛13990276572）现场要求炉批号控制2个以下，超2个不给予签收。提前联系到场规格及数量</v>
      </c>
      <c r="M2914" s="91">
        <v>45870</v>
      </c>
      <c r="N2914" s="62"/>
      <c r="O2914" s="62">
        <f ca="1" t="shared" si="171"/>
        <v>0</v>
      </c>
      <c r="P2914" s="62">
        <f ca="1" t="shared" si="172"/>
        <v>90</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7"/>
      <c r="B2915" s="120" t="s">
        <v>186</v>
      </c>
      <c r="C2915" s="70">
        <v>45890</v>
      </c>
      <c r="D2915" s="120" t="str">
        <f>VLOOKUP(B2915,辅助信息!E:K,7,FALSE)</f>
        <v>JWDDCD2025072900123</v>
      </c>
      <c r="E2915" s="120" t="str">
        <f>VLOOKUP(F2915,辅助信息!A:B,2,FALSE)</f>
        <v>螺纹钢</v>
      </c>
      <c r="F2915" s="120" t="s">
        <v>200</v>
      </c>
      <c r="G2915" s="121">
        <v>10</v>
      </c>
      <c r="H2915" s="134">
        <v>10</v>
      </c>
      <c r="I2915" s="120" t="str">
        <f>VLOOKUP(B2915,辅助信息!E:I,3,FALSE)</f>
        <v>(乐山市校地共建产教融合基地建设项目二标段)四川省乐山市市中区苏稽镇</v>
      </c>
      <c r="J2915" s="120" t="str">
        <f>VLOOKUP(B2915,辅助信息!E:I,4,FALSE)</f>
        <v>彭江涛</v>
      </c>
      <c r="K2915" s="120">
        <f>VLOOKUP(J2915,辅助信息!H:I,2,FALSE)</f>
        <v>13990276572</v>
      </c>
      <c r="L2915" s="122" t="str">
        <f>VLOOKUP(B2915,辅助信息!E:J,6,FALSE)</f>
        <v>联系实际收货人（彭江涛13990276572）现场要求炉批号控制2个以下，超2个不给予签收。提前联系到场规格及数量</v>
      </c>
      <c r="M2915" s="91">
        <v>45870</v>
      </c>
      <c r="N2915" s="62"/>
      <c r="O2915" s="62">
        <f ca="1" t="shared" si="171"/>
        <v>0</v>
      </c>
      <c r="P2915" s="62">
        <f ca="1" t="shared" si="172"/>
        <v>90</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0">
        <v>45890</v>
      </c>
      <c r="D2916" s="40" t="str">
        <f>VLOOKUP(B2916,辅助信息!E:K,7,FALSE)</f>
        <v>JWDDCD2025102100473</v>
      </c>
      <c r="E2916" s="40" t="str">
        <f>VLOOKUP(F2916,辅助信息!A:B,2,FALSE)</f>
        <v>盘螺</v>
      </c>
      <c r="F2916" s="40" t="s">
        <v>49</v>
      </c>
      <c r="G2916" s="36">
        <v>4</v>
      </c>
      <c r="H2916" s="134">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09"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1">
        <v>45870</v>
      </c>
      <c r="O2916" s="62">
        <f ca="1" t="shared" si="171"/>
        <v>0</v>
      </c>
      <c r="P2916" s="62">
        <f ca="1" t="shared" si="172"/>
        <v>90</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0">
        <v>45890</v>
      </c>
      <c r="D2917" s="40" t="str">
        <f>VLOOKUP(B2917,辅助信息!E:K,7,FALSE)</f>
        <v>JWDDCD2025102100473</v>
      </c>
      <c r="E2917" s="40" t="str">
        <f>VLOOKUP(F2917,辅助信息!A:B,2,FALSE)</f>
        <v>盘螺</v>
      </c>
      <c r="F2917" s="40" t="s">
        <v>40</v>
      </c>
      <c r="G2917" s="36">
        <v>10</v>
      </c>
      <c r="H2917" s="134">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09"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1">
        <v>45870</v>
      </c>
      <c r="O2917" s="62">
        <f ca="1" t="shared" si="171"/>
        <v>0</v>
      </c>
      <c r="P2917" s="62">
        <f ca="1" t="shared" si="172"/>
        <v>90</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0">
        <v>45890</v>
      </c>
      <c r="D2918" s="40" t="str">
        <f>VLOOKUP(B2918,辅助信息!E:K,7,FALSE)</f>
        <v>JWDDCD2025102100473</v>
      </c>
      <c r="E2918" s="40" t="str">
        <f>VLOOKUP(F2918,辅助信息!A:B,2,FALSE)</f>
        <v>盘螺</v>
      </c>
      <c r="F2918" s="40" t="s">
        <v>41</v>
      </c>
      <c r="G2918" s="36">
        <v>20</v>
      </c>
      <c r="H2918" s="134">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09"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1">
        <v>45870</v>
      </c>
      <c r="O2918" s="62">
        <f ca="1" t="shared" si="171"/>
        <v>0</v>
      </c>
      <c r="P2918" s="62">
        <f ca="1" t="shared" si="172"/>
        <v>90</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0">
        <v>45890</v>
      </c>
      <c r="D2919" s="40" t="str">
        <f>VLOOKUP(B2919,辅助信息!E:K,7,FALSE)</f>
        <v>JWDDCD2025102100473</v>
      </c>
      <c r="E2919" s="40" t="str">
        <f>VLOOKUP(F2919,辅助信息!A:B,2,FALSE)</f>
        <v>螺纹钢</v>
      </c>
      <c r="F2919" s="40" t="s">
        <v>27</v>
      </c>
      <c r="G2919" s="36">
        <v>15</v>
      </c>
      <c r="H2919" s="134">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09"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2" t="str">
        <f ca="1" t="shared" si="171"/>
        <v/>
      </c>
      <c r="P2919" s="62"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0">
        <v>45890</v>
      </c>
      <c r="D2920" s="40" t="str">
        <f>VLOOKUP(B2920,辅助信息!E:K,7,FALSE)</f>
        <v>JWDDCD2025102100473</v>
      </c>
      <c r="E2920" s="40" t="str">
        <f>VLOOKUP(F2920,辅助信息!A:B,2,FALSE)</f>
        <v>螺纹钢</v>
      </c>
      <c r="F2920" s="40" t="s">
        <v>21</v>
      </c>
      <c r="G2920" s="36">
        <v>5</v>
      </c>
      <c r="H2920" s="134">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09"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2" t="str">
        <f ca="1" t="shared" si="171"/>
        <v/>
      </c>
      <c r="P2920" s="62"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0">
        <v>45890</v>
      </c>
      <c r="D2921" s="40" t="str">
        <f>VLOOKUP(B2921,辅助信息!E:K,7,FALSE)</f>
        <v>JWDDCD2025102100473</v>
      </c>
      <c r="E2921" s="40" t="str">
        <f>VLOOKUP(F2921,辅助信息!A:B,2,FALSE)</f>
        <v>螺纹钢</v>
      </c>
      <c r="F2921" s="40" t="s">
        <v>58</v>
      </c>
      <c r="G2921" s="36">
        <v>5</v>
      </c>
      <c r="H2921" s="134">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09"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2" t="str">
        <f ca="1" t="shared" si="171"/>
        <v/>
      </c>
      <c r="P2921" s="62"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0">
        <v>45890</v>
      </c>
      <c r="D2922" s="40" t="str">
        <f>VLOOKUP(B2922,辅助信息!E:K,7,FALSE)</f>
        <v>JWDDCD2025102100473</v>
      </c>
      <c r="E2922" s="40" t="str">
        <f>VLOOKUP(F2922,辅助信息!A:B,2,FALSE)</f>
        <v>螺纹钢</v>
      </c>
      <c r="F2922" s="40" t="s">
        <v>22</v>
      </c>
      <c r="G2922" s="36">
        <v>46</v>
      </c>
      <c r="H2922" s="134">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09"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2" t="str">
        <f ca="1" t="shared" si="171"/>
        <v/>
      </c>
      <c r="P2922" s="62"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0">
        <v>45890</v>
      </c>
      <c r="D2923" s="40" t="str">
        <f>VLOOKUP(B2923,辅助信息!E:K,7,FALSE)</f>
        <v>JWDDCD2025102100473</v>
      </c>
      <c r="E2923" s="40" t="str">
        <f>VLOOKUP(F2923,辅助信息!A:B,2,FALSE)</f>
        <v>螺纹钢</v>
      </c>
      <c r="F2923" s="40" t="s">
        <v>27</v>
      </c>
      <c r="G2923" s="36">
        <v>50</v>
      </c>
      <c r="H2923" s="134">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09"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2" t="str">
        <f ca="1" t="shared" si="171"/>
        <v/>
      </c>
      <c r="P2923" s="62"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0">
        <v>45890</v>
      </c>
      <c r="D2924" s="40" t="str">
        <f>VLOOKUP(B2924,辅助信息!E:K,7,FALSE)</f>
        <v>JWDDCD2025102100473</v>
      </c>
      <c r="E2924" s="40" t="str">
        <f>VLOOKUP(F2924,辅助信息!A:B,2,FALSE)</f>
        <v>螺纹钢</v>
      </c>
      <c r="F2924" s="40" t="s">
        <v>19</v>
      </c>
      <c r="G2924" s="36">
        <v>20</v>
      </c>
      <c r="H2924" s="134">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09"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2" t="str">
        <f ca="1" t="shared" si="171"/>
        <v/>
      </c>
      <c r="P2924" s="62"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0">
        <v>45890</v>
      </c>
      <c r="D2925" s="40" t="str">
        <f>VLOOKUP(B2925,辅助信息!E:K,7,FALSE)</f>
        <v>JWDDCD2025102100473</v>
      </c>
      <c r="E2925" s="40" t="str">
        <f>VLOOKUP(F2925,辅助信息!A:B,2,FALSE)</f>
        <v>螺纹钢</v>
      </c>
      <c r="F2925" s="40" t="s">
        <v>66</v>
      </c>
      <c r="G2925" s="36">
        <v>5</v>
      </c>
      <c r="H2925" s="134">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09"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2" t="str">
        <f ca="1" t="shared" si="171"/>
        <v/>
      </c>
      <c r="P2925" s="62"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0">
        <v>45890</v>
      </c>
      <c r="D2926" s="40" t="str">
        <f>VLOOKUP(B2926,辅助信息!E:K,7,FALSE)</f>
        <v>JWDDCD2025102100473</v>
      </c>
      <c r="E2926" s="40" t="str">
        <f>VLOOKUP(F2926,辅助信息!A:B,2,FALSE)</f>
        <v>螺纹钢</v>
      </c>
      <c r="F2926" s="40" t="s">
        <v>82</v>
      </c>
      <c r="G2926" s="36">
        <v>5</v>
      </c>
      <c r="H2926" s="134">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09"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2" t="str">
        <f ca="1" t="shared" si="171"/>
        <v/>
      </c>
      <c r="P2926" s="62"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0">
        <v>45890</v>
      </c>
      <c r="D2927" s="40" t="str">
        <f>VLOOKUP(B2927,辅助信息!E:K,7,FALSE)</f>
        <v>JWDDCD2025102100473</v>
      </c>
      <c r="E2927" s="40" t="str">
        <f>VLOOKUP(F2927,辅助信息!A:B,2,FALSE)</f>
        <v>螺纹钢</v>
      </c>
      <c r="F2927" s="40" t="s">
        <v>22</v>
      </c>
      <c r="G2927" s="36">
        <v>60</v>
      </c>
      <c r="H2927" s="134">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09"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2" t="str">
        <f ca="1" t="shared" si="171"/>
        <v/>
      </c>
      <c r="P2927" s="62"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1" t="s">
        <v>209</v>
      </c>
      <c r="B2928" s="40" t="s">
        <v>208</v>
      </c>
      <c r="C2928" s="70">
        <v>45892</v>
      </c>
      <c r="D2928" s="40" t="str">
        <f>VLOOKUP(B2928,辅助信息!E:K,7,FALSE)</f>
        <v>JWDDCD2025102100480</v>
      </c>
      <c r="E2928" s="40" t="str">
        <f>VLOOKUP(F2928,辅助信息!A:B,2,FALSE)</f>
        <v>高线</v>
      </c>
      <c r="F2928" s="40" t="s">
        <v>51</v>
      </c>
      <c r="G2928" s="36">
        <v>10</v>
      </c>
      <c r="H2928" s="120"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09" t="str">
        <f>VLOOKUP(B2928,辅助信息!E:J,6,FALSE)</f>
        <v>联系实际收货人（陶杰13980247952）五冶建设送货单,6份材质书,锈货不收，装货前联系收货人核实到场规格,没提前告知进场规格现场不给予接收</v>
      </c>
      <c r="O2928" s="62" t="str">
        <f ca="1" t="shared" si="171"/>
        <v/>
      </c>
      <c r="P2928" s="62"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1"/>
      <c r="B2929" s="40" t="s">
        <v>208</v>
      </c>
      <c r="C2929" s="70">
        <v>45892</v>
      </c>
      <c r="D2929" s="40" t="str">
        <f>VLOOKUP(B2929,辅助信息!E:K,7,FALSE)</f>
        <v>JWDDCD2025102100480</v>
      </c>
      <c r="E2929" s="40" t="str">
        <f>VLOOKUP(F2929,辅助信息!A:B,2,FALSE)</f>
        <v>螺纹钢</v>
      </c>
      <c r="F2929" s="40" t="s">
        <v>30</v>
      </c>
      <c r="G2929" s="36">
        <v>2.7</v>
      </c>
      <c r="H2929" s="120">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09" t="str">
        <f>VLOOKUP(B2929,辅助信息!E:J,6,FALSE)</f>
        <v>联系实际收货人（陶杰13980247952）五冶建设送货单,6份材质书,锈货不收，装货前联系收货人核实到场规格,没提前告知进场规格现场不给予接收</v>
      </c>
      <c r="O2929" s="62" t="str">
        <f ca="1" t="shared" si="171"/>
        <v/>
      </c>
      <c r="P2929" s="62"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1"/>
      <c r="B2930" s="40" t="s">
        <v>208</v>
      </c>
      <c r="C2930" s="70">
        <v>45892</v>
      </c>
      <c r="D2930" s="40" t="str">
        <f>VLOOKUP(B2930,辅助信息!E:K,7,FALSE)</f>
        <v>JWDDCD2025102100480</v>
      </c>
      <c r="E2930" s="40" t="str">
        <f>VLOOKUP(F2930,辅助信息!A:B,2,FALSE)</f>
        <v>螺纹钢</v>
      </c>
      <c r="F2930" s="40" t="s">
        <v>28</v>
      </c>
      <c r="G2930" s="36">
        <v>50</v>
      </c>
      <c r="H2930" s="120">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09" t="str">
        <f>VLOOKUP(B2930,辅助信息!E:J,6,FALSE)</f>
        <v>联系实际收货人（陶杰13980247952）五冶建设送货单,6份材质书,锈货不收，装货前联系收货人核实到场规格,没提前告知进场规格现场不给予接收</v>
      </c>
      <c r="O2930" s="62" t="str">
        <f ca="1" t="shared" si="171"/>
        <v/>
      </c>
      <c r="P2930" s="62"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1"/>
      <c r="B2931" s="40" t="s">
        <v>208</v>
      </c>
      <c r="C2931" s="70">
        <v>45892</v>
      </c>
      <c r="D2931" s="40" t="str">
        <f>VLOOKUP(B2931,辅助信息!E:K,7,FALSE)</f>
        <v>JWDDCD2025102100480</v>
      </c>
      <c r="E2931" s="40" t="str">
        <f>VLOOKUP(F2931,辅助信息!A:B,2,FALSE)</f>
        <v>螺纹钢</v>
      </c>
      <c r="F2931" s="40" t="s">
        <v>18</v>
      </c>
      <c r="G2931" s="36">
        <v>9.1</v>
      </c>
      <c r="H2931" s="120">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09" t="str">
        <f>VLOOKUP(B2931,辅助信息!E:J,6,FALSE)</f>
        <v>联系实际收货人（陶杰13980247952）五冶建设送货单,6份材质书,锈货不收，装货前联系收货人核实到场规格,没提前告知进场规格现场不给予接收</v>
      </c>
      <c r="O2931" s="62" t="str">
        <f ca="1" t="shared" si="171"/>
        <v/>
      </c>
      <c r="P2931" s="62"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0">
        <v>45892</v>
      </c>
      <c r="D2932" s="40" t="str">
        <f>VLOOKUP(B2932,辅助信息!E:K,7,FALSE)</f>
        <v>JWDDCD2025072900123</v>
      </c>
      <c r="E2932" s="40" t="str">
        <f>VLOOKUP(F2932,辅助信息!A:B,2,FALSE)</f>
        <v>盘螺</v>
      </c>
      <c r="F2932" s="40" t="s">
        <v>49</v>
      </c>
      <c r="G2932" s="36">
        <v>7</v>
      </c>
      <c r="H2932" s="120">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09" t="str">
        <f>VLOOKUP(B2932,辅助信息!E:J,6,FALSE)</f>
        <v>联系实际收货人（彭江涛13990276572）现场要求炉批号控制2个以下，超2个不给予签收。提前联系到场规格及数量</v>
      </c>
      <c r="O2932" s="62" t="str">
        <f ca="1" t="shared" si="171"/>
        <v/>
      </c>
      <c r="P2932" s="62"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0">
        <v>45892</v>
      </c>
      <c r="D2933" s="40" t="str">
        <f>VLOOKUP(B2933,辅助信息!E:K,7,FALSE)</f>
        <v>JWDDCD2025072900123</v>
      </c>
      <c r="E2933" s="40" t="str">
        <f>VLOOKUP(F2933,辅助信息!A:B,2,FALSE)</f>
        <v>盘螺</v>
      </c>
      <c r="F2933" s="40" t="s">
        <v>40</v>
      </c>
      <c r="G2933" s="36">
        <v>27</v>
      </c>
      <c r="H2933" s="120">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09" t="str">
        <f>VLOOKUP(B2933,辅助信息!E:J,6,FALSE)</f>
        <v>联系实际收货人（彭江涛13990276572）现场要求炉批号控制2个以下，超2个不给予签收。提前联系到场规格及数量</v>
      </c>
      <c r="O2933" s="62" t="str">
        <f ca="1" t="shared" si="171"/>
        <v/>
      </c>
      <c r="P2933" s="62"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0">
        <v>45892</v>
      </c>
      <c r="D2934" s="40" t="str">
        <f>VLOOKUP(B2934,辅助信息!E:K,7,FALSE)</f>
        <v>JWDDCD2025072900123</v>
      </c>
      <c r="E2934" s="40" t="str">
        <f>VLOOKUP(F2934,辅助信息!A:B,2,FALSE)</f>
        <v>盘螺</v>
      </c>
      <c r="F2934" s="40" t="s">
        <v>41</v>
      </c>
      <c r="G2934" s="36">
        <v>25</v>
      </c>
      <c r="H2934" s="120">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09" t="str">
        <f>VLOOKUP(B2934,辅助信息!E:J,6,FALSE)</f>
        <v>联系实际收货人（彭江涛13990276572）现场要求炉批号控制2个以下，超2个不给予签收。提前联系到场规格及数量</v>
      </c>
      <c r="O2934" s="62" t="str">
        <f ca="1" t="shared" si="171"/>
        <v/>
      </c>
      <c r="P2934" s="62"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0">
        <v>45892</v>
      </c>
      <c r="D2935" s="40" t="str">
        <f>VLOOKUP(B2935,辅助信息!E:K,7,FALSE)</f>
        <v>JWDDCD2025072900123</v>
      </c>
      <c r="E2935" s="40" t="str">
        <f>VLOOKUP(F2935,辅助信息!A:B,2,FALSE)</f>
        <v>盘螺</v>
      </c>
      <c r="F2935" s="40" t="s">
        <v>26</v>
      </c>
      <c r="G2935" s="36">
        <v>21</v>
      </c>
      <c r="H2935" s="120">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09" t="str">
        <f>VLOOKUP(B2935,辅助信息!E:J,6,FALSE)</f>
        <v>联系实际收货人（彭江涛13990276572）现场要求炉批号控制2个以下，超2个不给予签收。提前联系到场规格及数量</v>
      </c>
      <c r="O2935" s="62" t="str">
        <f ca="1" t="shared" si="171"/>
        <v/>
      </c>
      <c r="P2935" s="62"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0">
        <v>45892</v>
      </c>
      <c r="D2936" s="40" t="str">
        <f>VLOOKUP(B2936,辅助信息!E:K,7,FALSE)</f>
        <v>JWDDCD2025072900123</v>
      </c>
      <c r="E2936" s="40" t="str">
        <f>VLOOKUP(F2936,辅助信息!A:B,2,FALSE)</f>
        <v>螺纹钢</v>
      </c>
      <c r="F2936" s="40" t="s">
        <v>19</v>
      </c>
      <c r="G2936" s="36">
        <v>15</v>
      </c>
      <c r="H2936" s="120">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09" t="str">
        <f>VLOOKUP(B2936,辅助信息!E:J,6,FALSE)</f>
        <v>联系实际收货人（彭江涛13990276572）现场要求炉批号控制2个以下，超2个不给予签收。提前联系到场规格及数量</v>
      </c>
      <c r="O2936" s="62" t="str">
        <f ca="1" t="shared" si="171"/>
        <v/>
      </c>
      <c r="P2936" s="62"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0">
        <v>45892</v>
      </c>
      <c r="D2937" s="40" t="str">
        <f>VLOOKUP(B2937,辅助信息!E:K,7,FALSE)</f>
        <v>JWDDCD2025072900123</v>
      </c>
      <c r="E2937" s="40" t="str">
        <f>VLOOKUP(F2937,辅助信息!A:B,2,FALSE)</f>
        <v>螺纹钢</v>
      </c>
      <c r="F2937" s="40" t="s">
        <v>76</v>
      </c>
      <c r="G2937" s="36">
        <v>4</v>
      </c>
      <c r="H2937" s="120">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09" t="str">
        <f>VLOOKUP(B2937,辅助信息!E:J,6,FALSE)</f>
        <v>联系实际收货人（彭江涛13990276572）现场要求炉批号控制2个以下，超2个不给予签收。提前联系到场规格及数量</v>
      </c>
      <c r="O2937" s="62" t="str">
        <f ca="1" t="shared" si="171"/>
        <v/>
      </c>
      <c r="P2937" s="62"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0">
        <v>45892</v>
      </c>
      <c r="D2938" s="40" t="str">
        <f>VLOOKUP(B2938,辅助信息!E:K,7,FALSE)</f>
        <v>JWDDCD2025072900123</v>
      </c>
      <c r="E2938" s="40" t="str">
        <f>VLOOKUP(F2938,辅助信息!A:B,2,FALSE)</f>
        <v>螺纹钢</v>
      </c>
      <c r="F2938" s="40" t="s">
        <v>205</v>
      </c>
      <c r="G2938" s="36">
        <v>6</v>
      </c>
      <c r="H2938" s="120">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09" t="str">
        <f>VLOOKUP(B2938,辅助信息!E:J,6,FALSE)</f>
        <v>联系实际收货人（彭江涛13990276572）现场要求炉批号控制2个以下，超2个不给予签收。提前联系到场规格及数量</v>
      </c>
      <c r="O2938" s="62" t="str">
        <f ca="1" t="shared" si="171"/>
        <v/>
      </c>
      <c r="P2938" s="62"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0">
        <v>45892</v>
      </c>
      <c r="D2939" s="40" t="str">
        <f>VLOOKUP(B2939,辅助信息!E:K,7,FALSE)</f>
        <v>JWDDCD2025072900123</v>
      </c>
      <c r="E2939" s="40" t="str">
        <f>VLOOKUP(F2939,辅助信息!A:B,2,FALSE)</f>
        <v>螺纹钢</v>
      </c>
      <c r="F2939" s="40" t="s">
        <v>140</v>
      </c>
      <c r="G2939" s="36">
        <v>27</v>
      </c>
      <c r="H2939" s="120">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09" t="str">
        <f>VLOOKUP(B2939,辅助信息!E:J,6,FALSE)</f>
        <v>联系实际收货人（彭江涛13990276572）现场要求炉批号控制2个以下，超2个不给予签收。提前联系到场规格及数量</v>
      </c>
      <c r="O2939" s="62" t="str">
        <f ca="1" t="shared" si="171"/>
        <v/>
      </c>
      <c r="P2939" s="62"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0">
        <v>45892</v>
      </c>
      <c r="D2940" s="40" t="str">
        <f>VLOOKUP(B2940,辅助信息!E:K,7,FALSE)</f>
        <v>JWDDCD2025072900123</v>
      </c>
      <c r="E2940" s="40" t="str">
        <f>VLOOKUP(F2940,辅助信息!A:B,2,FALSE)</f>
        <v>螺纹钢</v>
      </c>
      <c r="F2940" s="40" t="s">
        <v>197</v>
      </c>
      <c r="G2940" s="36">
        <v>2</v>
      </c>
      <c r="H2940" s="120">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09" t="str">
        <f>VLOOKUP(B2940,辅助信息!E:J,6,FALSE)</f>
        <v>联系实际收货人（彭江涛13990276572）现场要求炉批号控制2个以下，超2个不给予签收。提前联系到场规格及数量</v>
      </c>
      <c r="O2940" s="62" t="str">
        <f ca="1" t="shared" si="171"/>
        <v/>
      </c>
      <c r="P2940" s="62"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0">
        <v>45892</v>
      </c>
      <c r="D2941" s="40" t="str">
        <f>VLOOKUP(B2941,辅助信息!E:K,7,FALSE)</f>
        <v>JWDDCD2025072900123</v>
      </c>
      <c r="E2941" s="40" t="str">
        <f>VLOOKUP(F2941,辅助信息!A:B,2,FALSE)</f>
        <v>螺纹钢</v>
      </c>
      <c r="F2941" s="40" t="s">
        <v>198</v>
      </c>
      <c r="G2941" s="36">
        <v>5</v>
      </c>
      <c r="H2941" s="120">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09" t="str">
        <f>VLOOKUP(B2941,辅助信息!E:J,6,FALSE)</f>
        <v>联系实际收货人（彭江涛13990276572）现场要求炉批号控制2个以下，超2个不给予签收。提前联系到场规格及数量</v>
      </c>
      <c r="O2941" s="62" t="str">
        <f ca="1" t="shared" si="171"/>
        <v/>
      </c>
      <c r="P2941" s="62"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0">
        <v>45892</v>
      </c>
      <c r="D2942" s="40" t="str">
        <f>VLOOKUP(B2942,辅助信息!E:K,7,FALSE)</f>
        <v>JWDDCD2025072900123</v>
      </c>
      <c r="E2942" s="40" t="str">
        <f>VLOOKUP(F2942,辅助信息!A:B,2,FALSE)</f>
        <v>螺纹钢</v>
      </c>
      <c r="F2942" s="40" t="s">
        <v>199</v>
      </c>
      <c r="G2942" s="36">
        <v>6.5</v>
      </c>
      <c r="H2942" s="120">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09" t="str">
        <f>VLOOKUP(B2942,辅助信息!E:J,6,FALSE)</f>
        <v>联系实际收货人（彭江涛13990276572）现场要求炉批号控制2个以下，超2个不给予签收。提前联系到场规格及数量</v>
      </c>
      <c r="O2942" s="62" t="str">
        <f ca="1" t="shared" si="171"/>
        <v/>
      </c>
      <c r="P2942" s="62"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0">
        <v>45892</v>
      </c>
      <c r="D2943" s="40" t="str">
        <f>VLOOKUP(B2943,辅助信息!E:K,7,FALSE)</f>
        <v>JWDDCD2025072900123</v>
      </c>
      <c r="E2943" s="40" t="str">
        <f>VLOOKUP(F2943,辅助信息!A:B,2,FALSE)</f>
        <v>螺纹钢</v>
      </c>
      <c r="F2943" s="40" t="s">
        <v>46</v>
      </c>
      <c r="G2943" s="36">
        <v>10</v>
      </c>
      <c r="H2943" s="120">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09" t="str">
        <f>VLOOKUP(B2943,辅助信息!E:J,6,FALSE)</f>
        <v>联系实际收货人（彭江涛13990276572）现场要求炉批号控制2个以下，超2个不给予签收。提前联系到场规格及数量</v>
      </c>
      <c r="O2943" s="62" t="str">
        <f ca="1" t="shared" si="171"/>
        <v/>
      </c>
      <c r="P2943" s="62"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0">
        <v>45892</v>
      </c>
      <c r="D2944" s="40" t="str">
        <f>VLOOKUP(B2944,辅助信息!E:K,7,FALSE)</f>
        <v>JWDDCD2025072900123</v>
      </c>
      <c r="E2944" s="40" t="str">
        <f>VLOOKUP(F2944,辅助信息!A:B,2,FALSE)</f>
        <v>螺纹钢</v>
      </c>
      <c r="F2944" s="40" t="s">
        <v>141</v>
      </c>
      <c r="G2944" s="36">
        <v>14</v>
      </c>
      <c r="H2944" s="120"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09" t="str">
        <f>VLOOKUP(B2944,辅助信息!E:J,6,FALSE)</f>
        <v>联系实际收货人（彭江涛13990276572）现场要求炉批号控制2个以下，超2个不给予签收。提前联系到场规格及数量</v>
      </c>
      <c r="O2944" s="62" t="str">
        <f ca="1" t="shared" si="171"/>
        <v/>
      </c>
      <c r="P2944" s="62"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0">
        <v>45892</v>
      </c>
      <c r="D2945" s="40" t="str">
        <f>VLOOKUP(B2945,辅助信息!E:K,7,FALSE)</f>
        <v>JWDDCD2025072900123</v>
      </c>
      <c r="E2945" s="40" t="str">
        <f>VLOOKUP(F2945,辅助信息!A:B,2,FALSE)</f>
        <v>螺纹钢</v>
      </c>
      <c r="F2945" s="40" t="s">
        <v>22</v>
      </c>
      <c r="G2945" s="36">
        <v>48</v>
      </c>
      <c r="H2945" s="120">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09" t="str">
        <f>VLOOKUP(B2945,辅助信息!E:J,6,FALSE)</f>
        <v>联系实际收货人（彭江涛13990276572）现场要求炉批号控制2个以下，超2个不给予签收。提前联系到场规格及数量</v>
      </c>
      <c r="O2945" s="62" t="str">
        <f ca="1" t="shared" si="171"/>
        <v/>
      </c>
      <c r="P2945" s="62"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0">
        <v>45892</v>
      </c>
      <c r="D2946" s="40" t="str">
        <f>VLOOKUP(B2946,辅助信息!E:K,7,FALSE)</f>
        <v>JWDDCD2025072900123</v>
      </c>
      <c r="E2946" s="40" t="str">
        <f>VLOOKUP(F2946,辅助信息!A:B,2,FALSE)</f>
        <v>螺纹钢</v>
      </c>
      <c r="F2946" s="40" t="s">
        <v>142</v>
      </c>
      <c r="G2946" s="36">
        <v>142</v>
      </c>
      <c r="H2946" s="120">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09" t="str">
        <f>VLOOKUP(B2946,辅助信息!E:J,6,FALSE)</f>
        <v>联系实际收货人（彭江涛13990276572）现场要求炉批号控制2个以下，超2个不给予签收。提前联系到场规格及数量</v>
      </c>
      <c r="O2946" s="62" t="str">
        <f ca="1" t="shared" si="171"/>
        <v/>
      </c>
      <c r="P2946" s="62"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0">
        <v>45892</v>
      </c>
      <c r="D2947" s="40" t="str">
        <f>VLOOKUP(B2947,辅助信息!E:K,7,FALSE)</f>
        <v>JWDDCD2025072900123</v>
      </c>
      <c r="E2947" s="40" t="str">
        <f>VLOOKUP(F2947,辅助信息!A:B,2,FALSE)</f>
        <v>螺纹钢</v>
      </c>
      <c r="F2947" s="40" t="s">
        <v>182</v>
      </c>
      <c r="G2947" s="36">
        <v>12</v>
      </c>
      <c r="H2947" s="120">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09" t="str">
        <f>VLOOKUP(B2947,辅助信息!E:J,6,FALSE)</f>
        <v>联系实际收货人（彭江涛13990276572）现场要求炉批号控制2个以下，超2个不给予签收。提前联系到场规格及数量</v>
      </c>
      <c r="O2947" s="62" t="str">
        <f ca="1" t="shared" si="171"/>
        <v/>
      </c>
      <c r="P2947" s="62"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0">
        <v>45892</v>
      </c>
      <c r="D2948" s="40" t="str">
        <f>VLOOKUP(B2948,辅助信息!E:K,7,FALSE)</f>
        <v>JWDDCD2025072900123</v>
      </c>
      <c r="E2948" s="40" t="str">
        <f>VLOOKUP(F2948,辅助信息!A:B,2,FALSE)</f>
        <v>螺纹钢</v>
      </c>
      <c r="F2948" s="40" t="s">
        <v>201</v>
      </c>
      <c r="G2948" s="36">
        <v>12.5</v>
      </c>
      <c r="H2948" s="120">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09" t="str">
        <f>VLOOKUP(B2948,辅助信息!E:J,6,FALSE)</f>
        <v>联系实际收货人（彭江涛13990276572）现场要求炉批号控制2个以下，超2个不给予签收。提前联系到场规格及数量</v>
      </c>
      <c r="O2948" s="62" t="str">
        <f ca="1" t="shared" si="171"/>
        <v/>
      </c>
      <c r="P2948" s="62"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0">
        <v>45893</v>
      </c>
      <c r="D2949" s="40" t="str">
        <f>VLOOKUP(B2949,辅助信息!E:K,7,FALSE)</f>
        <v>JWDDCD2025102100480</v>
      </c>
      <c r="E2949" s="40" t="str">
        <f>VLOOKUP(F2949,辅助信息!A:B,2,FALSE)</f>
        <v>高线</v>
      </c>
      <c r="F2949" s="40" t="s">
        <v>51</v>
      </c>
      <c r="G2949" s="36">
        <v>10</v>
      </c>
      <c r="H2949" s="120">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09" t="str">
        <f>VLOOKUP(B2949,辅助信息!E:J,6,FALSE)</f>
        <v>联系实际收货人（陶杰13980247952）五冶建设送货单,6份材质书,锈货不收，装货前联系收货人核实到场规格,没提前告知进场规格现场不给予接收</v>
      </c>
      <c r="O2949" s="62" t="str">
        <f ca="1" t="shared" si="171"/>
        <v/>
      </c>
      <c r="P2949" s="62"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0">
        <v>45893</v>
      </c>
      <c r="D2950" s="40" t="str">
        <f>VLOOKUP(B2950,辅助信息!E:K,7,FALSE)</f>
        <v>JWDDCD2025102100480</v>
      </c>
      <c r="E2950" s="40" t="str">
        <f>VLOOKUP(F2950,辅助信息!A:B,2,FALSE)</f>
        <v>螺纹钢</v>
      </c>
      <c r="F2950" s="40" t="s">
        <v>28</v>
      </c>
      <c r="G2950" s="36">
        <v>27</v>
      </c>
      <c r="H2950" s="120">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09" t="str">
        <f>VLOOKUP(B2950,辅助信息!E:J,6,FALSE)</f>
        <v>联系实际收货人（陶杰13980247952）五冶建设送货单,6份材质书,锈货不收，装货前联系收货人核实到场规格,没提前告知进场规格现场不给予接收</v>
      </c>
      <c r="O2950" s="62" t="str">
        <f ca="1" t="shared" si="171"/>
        <v/>
      </c>
      <c r="P2950" s="62"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0">
        <v>45893</v>
      </c>
      <c r="D2951" s="40" t="str">
        <f>VLOOKUP(B2951,辅助信息!E:K,7,FALSE)</f>
        <v>JWDDCD2025072900123</v>
      </c>
      <c r="E2951" s="40" t="str">
        <f>VLOOKUP(F2951,辅助信息!A:B,2,FALSE)</f>
        <v>螺纹钢</v>
      </c>
      <c r="F2951" s="40" t="s">
        <v>141</v>
      </c>
      <c r="G2951" s="36">
        <v>14</v>
      </c>
      <c r="H2951" s="120"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09" t="str">
        <f>VLOOKUP(B2951,辅助信息!E:J,6,FALSE)</f>
        <v>联系实际收货人（彭江涛13990276572）现场要求炉批号控制2个以下，超2个不给予签收。提前联系到场规格及数量</v>
      </c>
      <c r="O2951" s="62" t="str">
        <f ca="1" t="shared" si="171"/>
        <v/>
      </c>
      <c r="P2951" s="62"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0">
        <v>45893</v>
      </c>
      <c r="D2952" s="40" t="str">
        <f>VLOOKUP(B2952,辅助信息!E:K,7,FALSE)</f>
        <v>JWDDCD2025072900123</v>
      </c>
      <c r="E2952" s="40" t="str">
        <f>VLOOKUP(F2952,辅助信息!A:B,2,FALSE)</f>
        <v>螺纹钢</v>
      </c>
      <c r="F2952" s="40" t="s">
        <v>22</v>
      </c>
      <c r="G2952" s="36">
        <v>15.5</v>
      </c>
      <c r="H2952" s="120"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09" t="str">
        <f>VLOOKUP(B2952,辅助信息!E:J,6,FALSE)</f>
        <v>联系实际收货人（彭江涛13990276572）现场要求炉批号控制2个以下，超2个不给予签收。提前联系到场规格及数量</v>
      </c>
      <c r="O2952" s="62" t="str">
        <f ca="1" t="shared" si="171"/>
        <v/>
      </c>
      <c r="P2952" s="62"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0">
        <v>45893</v>
      </c>
      <c r="D2953" s="40" t="str">
        <f>VLOOKUP(B2953,辅助信息!E:K,7,FALSE)</f>
        <v>JWDDCD2025072900123</v>
      </c>
      <c r="E2953" s="40" t="str">
        <f>VLOOKUP(F2953,辅助信息!A:B,2,FALSE)</f>
        <v>螺纹钢</v>
      </c>
      <c r="F2953" s="40" t="s">
        <v>142</v>
      </c>
      <c r="G2953" s="36">
        <v>72</v>
      </c>
      <c r="H2953" s="120"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09" t="str">
        <f>VLOOKUP(B2953,辅助信息!E:J,6,FALSE)</f>
        <v>联系实际收货人（彭江涛13990276572）现场要求炉批号控制2个以下，超2个不给予签收。提前联系到场规格及数量</v>
      </c>
      <c r="O2953" s="62" t="str">
        <f ca="1" t="shared" ref="O2953:O3016" si="173">IF(OR(M2953="",N2953&lt;&gt;""),"",MAX(M2953-TODAY(),0))</f>
        <v/>
      </c>
      <c r="P2953" s="62"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0">
        <v>45893</v>
      </c>
      <c r="D2954" s="40" t="str">
        <f>VLOOKUP(B2954,辅助信息!E:K,7,FALSE)</f>
        <v>JWDDCD2025102100473</v>
      </c>
      <c r="E2954" s="40" t="str">
        <f>VLOOKUP(F2954,辅助信息!A:B,2,FALSE)</f>
        <v>螺纹钢</v>
      </c>
      <c r="F2954" s="40" t="s">
        <v>19</v>
      </c>
      <c r="G2954" s="36">
        <v>25</v>
      </c>
      <c r="H2954" s="120">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09"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2" t="str">
        <f ca="1" t="shared" si="173"/>
        <v/>
      </c>
      <c r="P2954" s="62"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0">
        <v>45893</v>
      </c>
      <c r="D2955" s="40" t="str">
        <f>VLOOKUP(B2955,辅助信息!E:K,7,FALSE)</f>
        <v>JWDDCD2025102100473</v>
      </c>
      <c r="E2955" s="40" t="str">
        <f>VLOOKUP(F2955,辅助信息!A:B,2,FALSE)</f>
        <v>螺纹钢</v>
      </c>
      <c r="F2955" s="40" t="s">
        <v>32</v>
      </c>
      <c r="G2955" s="36">
        <v>20</v>
      </c>
      <c r="H2955" s="120">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09"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2" t="str">
        <f ca="1" t="shared" si="173"/>
        <v/>
      </c>
      <c r="P2955" s="62"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0">
        <v>45893</v>
      </c>
      <c r="D2956" s="40" t="str">
        <f>VLOOKUP(B2956,辅助信息!E:K,7,FALSE)</f>
        <v>JWDDCD2025102100473</v>
      </c>
      <c r="E2956" s="40" t="str">
        <f>VLOOKUP(F2956,辅助信息!A:B,2,FALSE)</f>
        <v>螺纹钢</v>
      </c>
      <c r="F2956" s="40" t="s">
        <v>30</v>
      </c>
      <c r="G2956" s="36">
        <v>5</v>
      </c>
      <c r="H2956" s="120">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09"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2" t="str">
        <f ca="1" t="shared" si="173"/>
        <v/>
      </c>
      <c r="P2956" s="62"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0">
        <v>45893</v>
      </c>
      <c r="D2957" s="40" t="str">
        <f>VLOOKUP(B2957,辅助信息!E:K,7,FALSE)</f>
        <v>JWDDCD2025102100473</v>
      </c>
      <c r="E2957" s="40" t="str">
        <f>VLOOKUP(F2957,辅助信息!A:B,2,FALSE)</f>
        <v>螺纹钢</v>
      </c>
      <c r="F2957" s="40" t="s">
        <v>28</v>
      </c>
      <c r="G2957" s="36">
        <v>25</v>
      </c>
      <c r="H2957" s="120">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09"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2" t="str">
        <f ca="1" t="shared" si="173"/>
        <v/>
      </c>
      <c r="P2957" s="62"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0">
        <v>45894</v>
      </c>
      <c r="D2958" s="40" t="str">
        <f>VLOOKUP(B2958,辅助信息!E:K,7,FALSE)</f>
        <v>JWDDCD2025072900123</v>
      </c>
      <c r="E2958" s="40" t="str">
        <f>VLOOKUP(F2958,辅助信息!A:B,2,FALSE)</f>
        <v>螺纹钢</v>
      </c>
      <c r="F2958" s="40" t="s">
        <v>141</v>
      </c>
      <c r="G2958" s="36">
        <v>14</v>
      </c>
      <c r="H2958" s="141">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09" t="str">
        <f>VLOOKUP(B2958,辅助信息!E:J,6,FALSE)</f>
        <v>联系实际收货人（彭江涛13990276572）现场要求炉批号控制2个以下，超2个不给予签收。提前联系到场规格及数量</v>
      </c>
      <c r="O2958" s="62" t="str">
        <f ca="1" t="shared" si="173"/>
        <v/>
      </c>
      <c r="P2958" s="62"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0">
        <v>45894</v>
      </c>
      <c r="D2959" s="40" t="str">
        <f>VLOOKUP(B2959,辅助信息!E:K,7,FALSE)</f>
        <v>JWDDCD2025072900123</v>
      </c>
      <c r="E2959" s="40" t="str">
        <f>VLOOKUP(F2959,辅助信息!A:B,2,FALSE)</f>
        <v>螺纹钢</v>
      </c>
      <c r="F2959" s="40" t="s">
        <v>22</v>
      </c>
      <c r="G2959" s="36">
        <v>15.5</v>
      </c>
      <c r="H2959" s="141">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09" t="str">
        <f>VLOOKUP(B2959,辅助信息!E:J,6,FALSE)</f>
        <v>联系实际收货人（彭江涛13990276572）现场要求炉批号控制2个以下，超2个不给予签收。提前联系到场规格及数量</v>
      </c>
      <c r="O2959" s="62" t="str">
        <f ca="1" t="shared" si="173"/>
        <v/>
      </c>
      <c r="P2959" s="62"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0">
        <v>45894</v>
      </c>
      <c r="D2960" s="40" t="str">
        <f>VLOOKUP(B2960,辅助信息!E:K,7,FALSE)</f>
        <v>JWDDCD2025072900123</v>
      </c>
      <c r="E2960" s="40" t="str">
        <f>VLOOKUP(F2960,辅助信息!A:B,2,FALSE)</f>
        <v>螺纹钢</v>
      </c>
      <c r="F2960" s="40" t="s">
        <v>142</v>
      </c>
      <c r="G2960" s="36">
        <v>72</v>
      </c>
      <c r="H2960" s="141">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09" t="str">
        <f>VLOOKUP(B2960,辅助信息!E:J,6,FALSE)</f>
        <v>联系实际收货人（彭江涛13990276572）现场要求炉批号控制2个以下，超2个不给予签收。提前联系到场规格及数量</v>
      </c>
      <c r="O2960" s="62" t="str">
        <f ca="1" t="shared" si="173"/>
        <v/>
      </c>
      <c r="P2960" s="62"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0">
        <v>45894</v>
      </c>
      <c r="D2961" s="40" t="str">
        <f>VLOOKUP(B2961,辅助信息!E:K,7,FALSE)</f>
        <v>JWDDCD2025052800131</v>
      </c>
      <c r="E2961" s="40" t="str">
        <f>VLOOKUP(F2961,辅助信息!A:B,2,FALSE)</f>
        <v>盘螺</v>
      </c>
      <c r="F2961" s="40" t="s">
        <v>40</v>
      </c>
      <c r="G2961" s="36">
        <v>45</v>
      </c>
      <c r="H2961" s="120"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09" t="str">
        <f>VLOOKUP(B2961,辅助信息!E:J,6,FALSE)</f>
        <v>控制炉批号！多了现场不收！,优先安排达钢,提前联系到场规格及数量</v>
      </c>
      <c r="O2961" s="62" t="str">
        <f ca="1" t="shared" si="173"/>
        <v/>
      </c>
      <c r="P2961" s="62"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0">
        <v>45894</v>
      </c>
      <c r="D2962" s="40" t="str">
        <f>VLOOKUP(B2962,辅助信息!E:K,7,FALSE)</f>
        <v>JWDDCD2025052800131</v>
      </c>
      <c r="E2962" s="40" t="str">
        <f>VLOOKUP(F2962,辅助信息!A:B,2,FALSE)</f>
        <v>盘螺</v>
      </c>
      <c r="F2962" s="40" t="s">
        <v>41</v>
      </c>
      <c r="G2962" s="36">
        <v>21</v>
      </c>
      <c r="H2962" s="120">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09" t="str">
        <f>VLOOKUP(B2962,辅助信息!E:J,6,FALSE)</f>
        <v>控制炉批号！多了现场不收！,优先安排达钢,提前联系到场规格及数量</v>
      </c>
      <c r="O2962" s="62" t="str">
        <f ca="1" t="shared" si="173"/>
        <v/>
      </c>
      <c r="P2962" s="62"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0">
        <v>45894</v>
      </c>
      <c r="D2963" s="40" t="str">
        <f>VLOOKUP(B2963,辅助信息!E:K,7,FALSE)</f>
        <v>JWDDCD2025052800131</v>
      </c>
      <c r="E2963" s="40" t="str">
        <f>VLOOKUP(F2963,辅助信息!A:B,2,FALSE)</f>
        <v>螺纹钢</v>
      </c>
      <c r="F2963" s="40" t="s">
        <v>32</v>
      </c>
      <c r="G2963" s="36">
        <v>3</v>
      </c>
      <c r="H2963" s="120"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09" t="str">
        <f>VLOOKUP(B2963,辅助信息!E:J,6,FALSE)</f>
        <v>控制炉批号！多了现场不收！,优先安排达钢,提前联系到场规格及数量</v>
      </c>
      <c r="O2963" s="62" t="str">
        <f ca="1" t="shared" si="173"/>
        <v/>
      </c>
      <c r="P2963" s="62"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0">
        <v>45894</v>
      </c>
      <c r="D2964" s="40" t="str">
        <f>VLOOKUP(B2964,辅助信息!E:K,7,FALSE)</f>
        <v>JWDDCD2025052800131</v>
      </c>
      <c r="E2964" s="40" t="str">
        <f>VLOOKUP(F2964,辅助信息!A:B,2,FALSE)</f>
        <v>螺纹钢</v>
      </c>
      <c r="F2964" s="40" t="s">
        <v>30</v>
      </c>
      <c r="G2964" s="36">
        <v>6</v>
      </c>
      <c r="H2964" s="120"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09" t="str">
        <f>VLOOKUP(B2964,辅助信息!E:J,6,FALSE)</f>
        <v>控制炉批号！多了现场不收！,优先安排达钢,提前联系到场规格及数量</v>
      </c>
      <c r="O2964" s="62" t="str">
        <f ca="1" t="shared" si="173"/>
        <v/>
      </c>
      <c r="P2964" s="62"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0">
        <v>45894</v>
      </c>
      <c r="D2965" s="40" t="str">
        <f>VLOOKUP(B2965,辅助信息!E:K,7,FALSE)</f>
        <v>JWDDCD2025052800131</v>
      </c>
      <c r="E2965" s="40" t="str">
        <f>VLOOKUP(F2965,辅助信息!A:B,2,FALSE)</f>
        <v>螺纹钢</v>
      </c>
      <c r="F2965" s="40" t="s">
        <v>33</v>
      </c>
      <c r="G2965" s="36">
        <v>6</v>
      </c>
      <c r="H2965" s="120">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09" t="str">
        <f>VLOOKUP(B2965,辅助信息!E:J,6,FALSE)</f>
        <v>控制炉批号！多了现场不收！,优先安排达钢,提前联系到场规格及数量</v>
      </c>
      <c r="O2965" s="62" t="str">
        <f ca="1" t="shared" si="173"/>
        <v/>
      </c>
      <c r="P2965" s="62"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0">
        <v>45894</v>
      </c>
      <c r="D2966" s="40" t="str">
        <f>VLOOKUP(B2966,辅助信息!E:K,7,FALSE)</f>
        <v>JWDDCD2025052800131</v>
      </c>
      <c r="E2966" s="40" t="str">
        <f>VLOOKUP(F2966,辅助信息!A:B,2,FALSE)</f>
        <v>螺纹钢</v>
      </c>
      <c r="F2966" s="40" t="s">
        <v>18</v>
      </c>
      <c r="G2966" s="36">
        <v>15</v>
      </c>
      <c r="H2966" s="120">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09" t="str">
        <f>VLOOKUP(B2966,辅助信息!E:J,6,FALSE)</f>
        <v>控制炉批号！多了现场不收！,优先安排达钢,提前联系到场规格及数量</v>
      </c>
      <c r="O2966" s="62" t="str">
        <f ca="1" t="shared" si="173"/>
        <v/>
      </c>
      <c r="P2966" s="62"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0">
        <v>45894</v>
      </c>
      <c r="D2967" s="40" t="str">
        <f>VLOOKUP(B2967,辅助信息!E:K,7,FALSE)</f>
        <v>JWDDCD2025052800131</v>
      </c>
      <c r="E2967" s="40" t="str">
        <f>VLOOKUP(F2967,辅助信息!A:B,2,FALSE)</f>
        <v>盘螺</v>
      </c>
      <c r="F2967" s="40" t="s">
        <v>40</v>
      </c>
      <c r="G2967" s="36">
        <v>30</v>
      </c>
      <c r="H2967" s="120">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09" t="str">
        <f>VLOOKUP(B2967,辅助信息!E:J,6,FALSE)</f>
        <v>控制炉批号！多了现场不收！,优先安排达钢,提前联系到场规格及数量</v>
      </c>
      <c r="O2967" s="62" t="str">
        <f ca="1" t="shared" si="173"/>
        <v/>
      </c>
      <c r="P2967" s="62"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0">
        <v>45894</v>
      </c>
      <c r="D2968" s="40" t="str">
        <f>VLOOKUP(B2968,辅助信息!E:K,7,FALSE)</f>
        <v>JWDDCD2025052800131</v>
      </c>
      <c r="E2968" s="40" t="str">
        <f>VLOOKUP(F2968,辅助信息!A:B,2,FALSE)</f>
        <v>盘螺</v>
      </c>
      <c r="F2968" s="40" t="s">
        <v>41</v>
      </c>
      <c r="G2968" s="36">
        <v>18</v>
      </c>
      <c r="H2968" s="120">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09" t="str">
        <f>VLOOKUP(B2968,辅助信息!E:J,6,FALSE)</f>
        <v>控制炉批号！多了现场不收！,优先安排达钢,提前联系到场规格及数量</v>
      </c>
      <c r="O2968" s="62" t="str">
        <f ca="1" t="shared" si="173"/>
        <v/>
      </c>
      <c r="P2968" s="62"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0">
        <v>45894</v>
      </c>
      <c r="D2969" s="40" t="str">
        <f>VLOOKUP(B2969,辅助信息!E:K,7,FALSE)</f>
        <v>JWDDCD2025052800131</v>
      </c>
      <c r="E2969" s="40" t="str">
        <f>VLOOKUP(F2969,辅助信息!A:B,2,FALSE)</f>
        <v>螺纹钢</v>
      </c>
      <c r="F2969" s="40" t="s">
        <v>30</v>
      </c>
      <c r="G2969" s="36">
        <v>6</v>
      </c>
      <c r="H2969" s="120"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09" t="str">
        <f>VLOOKUP(B2969,辅助信息!E:J,6,FALSE)</f>
        <v>控制炉批号！多了现场不收！,优先安排达钢,提前联系到场规格及数量</v>
      </c>
      <c r="O2969" s="62" t="str">
        <f ca="1" t="shared" si="173"/>
        <v/>
      </c>
      <c r="P2969" s="62"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0">
        <v>45894</v>
      </c>
      <c r="D2970" s="40" t="str">
        <f>VLOOKUP(B2970,辅助信息!E:K,7,FALSE)</f>
        <v>JWDDCD2025052800131</v>
      </c>
      <c r="E2970" s="40" t="str">
        <f>VLOOKUP(F2970,辅助信息!A:B,2,FALSE)</f>
        <v>螺纹钢</v>
      </c>
      <c r="F2970" s="40" t="s">
        <v>33</v>
      </c>
      <c r="G2970" s="36">
        <v>12</v>
      </c>
      <c r="H2970" s="120">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09" t="str">
        <f>VLOOKUP(B2970,辅助信息!E:J,6,FALSE)</f>
        <v>控制炉批号！多了现场不收！,优先安排达钢,提前联系到场规格及数量</v>
      </c>
      <c r="O2970" s="62" t="str">
        <f ca="1" t="shared" si="173"/>
        <v/>
      </c>
      <c r="P2970" s="62"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0">
        <v>45894</v>
      </c>
      <c r="D2971" s="40" t="str">
        <f>VLOOKUP(B2971,辅助信息!E:K,7,FALSE)</f>
        <v>JWDDCD2025052800131</v>
      </c>
      <c r="E2971" s="40" t="str">
        <f>VLOOKUP(F2971,辅助信息!A:B,2,FALSE)</f>
        <v>螺纹钢</v>
      </c>
      <c r="F2971" s="40" t="s">
        <v>18</v>
      </c>
      <c r="G2971" s="36">
        <v>12</v>
      </c>
      <c r="H2971" s="120">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09" t="str">
        <f>VLOOKUP(B2971,辅助信息!E:J,6,FALSE)</f>
        <v>控制炉批号！多了现场不收！,优先安排达钢,提前联系到场规格及数量</v>
      </c>
      <c r="O2971" s="62" t="str">
        <f ca="1" t="shared" si="173"/>
        <v/>
      </c>
      <c r="P2971" s="62"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0">
        <v>45894</v>
      </c>
      <c r="D2972" s="40" t="str">
        <f>VLOOKUP(B2972,辅助信息!E:K,7,FALSE)</f>
        <v>JWDDCD2025052800131</v>
      </c>
      <c r="E2972" s="40" t="str">
        <f>VLOOKUP(F2972,辅助信息!A:B,2,FALSE)</f>
        <v>螺纹钢</v>
      </c>
      <c r="F2972" s="40" t="s">
        <v>21</v>
      </c>
      <c r="G2972" s="36">
        <v>6</v>
      </c>
      <c r="H2972" s="120"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09" t="str">
        <f>VLOOKUP(B2972,辅助信息!E:J,6,FALSE)</f>
        <v>控制炉批号！多了现场不收！,优先安排达钢,提前联系到场规格及数量</v>
      </c>
      <c r="O2972" s="62" t="str">
        <f ca="1" t="shared" si="173"/>
        <v/>
      </c>
      <c r="P2972" s="62"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0">
        <v>45894</v>
      </c>
      <c r="D2973" s="40" t="str">
        <f>VLOOKUP(B2973,辅助信息!E:K,7,FALSE)</f>
        <v>JWDDCD2025052800131</v>
      </c>
      <c r="E2973" s="40" t="str">
        <f>VLOOKUP(F2973,辅助信息!A:B,2,FALSE)</f>
        <v>螺纹钢</v>
      </c>
      <c r="F2973" s="40" t="s">
        <v>58</v>
      </c>
      <c r="G2973" s="36">
        <v>12</v>
      </c>
      <c r="H2973" s="120"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09" t="str">
        <f>VLOOKUP(B2973,辅助信息!E:J,6,FALSE)</f>
        <v>控制炉批号！多了现场不收！,优先安排达钢,提前联系到场规格及数量</v>
      </c>
      <c r="O2973" s="62" t="str">
        <f ca="1" t="shared" si="173"/>
        <v/>
      </c>
      <c r="P2973" s="62"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0">
        <v>45894</v>
      </c>
      <c r="D2974" s="40" t="str">
        <f>VLOOKUP(B2974,辅助信息!E:K,7,FALSE)</f>
        <v>JWDD2025071500089</v>
      </c>
      <c r="E2974" s="40" t="str">
        <f>VLOOKUP(F2974,辅助信息!A:B,2,FALSE)</f>
        <v>盘螺</v>
      </c>
      <c r="F2974" s="40" t="s">
        <v>40</v>
      </c>
      <c r="G2974" s="36">
        <v>35</v>
      </c>
      <c r="H2974" s="141">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09" t="str">
        <f>VLOOKUP(B2974,辅助信息!E:J,6,FALSE)</f>
        <v>现场要求调度统一联系指定收货人，不单独发司机位置。锈货不收，装货前联系收货人核实到场规格,没提前告知进场规格现场不给予接收</v>
      </c>
      <c r="O2974" s="62" t="str">
        <f ca="1" t="shared" si="173"/>
        <v/>
      </c>
      <c r="P2974" s="62"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0">
        <v>45894</v>
      </c>
      <c r="D2975" s="40" t="str">
        <f>VLOOKUP(B2975,辅助信息!E:K,7,FALSE)</f>
        <v>JWDD2025071500089</v>
      </c>
      <c r="E2975" s="40" t="str">
        <f>VLOOKUP(F2975,辅助信息!A:B,2,FALSE)</f>
        <v>螺纹钢</v>
      </c>
      <c r="F2975" s="40" t="s">
        <v>27</v>
      </c>
      <c r="G2975" s="36">
        <v>5</v>
      </c>
      <c r="H2975" s="141">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09" t="str">
        <f>VLOOKUP(B2975,辅助信息!E:J,6,FALSE)</f>
        <v>现场要求调度统一联系指定收货人，不单独发司机位置。锈货不收，装货前联系收货人核实到场规格,没提前告知进场规格现场不给予接收</v>
      </c>
      <c r="O2975" s="62" t="str">
        <f ca="1" t="shared" si="173"/>
        <v/>
      </c>
      <c r="P2975" s="62"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0">
        <v>45894</v>
      </c>
      <c r="D2976" s="40" t="str">
        <f>VLOOKUP(B2976,辅助信息!E:K,7,FALSE)</f>
        <v>JWDD2025071500089</v>
      </c>
      <c r="E2976" s="40" t="str">
        <f>VLOOKUP(F2976,辅助信息!A:B,2,FALSE)</f>
        <v>螺纹钢</v>
      </c>
      <c r="F2976" s="40" t="s">
        <v>19</v>
      </c>
      <c r="G2976" s="36">
        <v>40</v>
      </c>
      <c r="H2976" s="141">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09" t="str">
        <f>VLOOKUP(B2976,辅助信息!E:J,6,FALSE)</f>
        <v>现场要求调度统一联系指定收货人，不单独发司机位置。锈货不收，装货前联系收货人核实到场规格,没提前告知进场规格现场不给予接收</v>
      </c>
      <c r="O2976" s="62" t="str">
        <f ca="1" t="shared" si="173"/>
        <v/>
      </c>
      <c r="P2976" s="62"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0">
        <v>45894</v>
      </c>
      <c r="D2977" s="40" t="str">
        <f>VLOOKUP(B2977,辅助信息!E:K,7,FALSE)</f>
        <v>JWDD2025071500089</v>
      </c>
      <c r="E2977" s="40" t="str">
        <f>VLOOKUP(F2977,辅助信息!A:B,2,FALSE)</f>
        <v>螺纹钢</v>
      </c>
      <c r="F2977" s="40" t="s">
        <v>32</v>
      </c>
      <c r="G2977" s="36">
        <v>20</v>
      </c>
      <c r="H2977" s="141">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09" t="str">
        <f>VLOOKUP(B2977,辅助信息!E:J,6,FALSE)</f>
        <v>现场要求调度统一联系指定收货人，不单独发司机位置。锈货不收，装货前联系收货人核实到场规格,没提前告知进场规格现场不给予接收</v>
      </c>
      <c r="O2977" s="62" t="str">
        <f ca="1" t="shared" si="173"/>
        <v/>
      </c>
      <c r="P2977" s="62"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0">
        <v>45894</v>
      </c>
      <c r="D2978" s="40" t="str">
        <f>VLOOKUP(B2978,辅助信息!E:K,7,FALSE)</f>
        <v>JWDD2025071500089</v>
      </c>
      <c r="E2978" s="40" t="str">
        <f>VLOOKUP(F2978,辅助信息!A:B,2,FALSE)</f>
        <v>螺纹钢</v>
      </c>
      <c r="F2978" s="40" t="s">
        <v>30</v>
      </c>
      <c r="G2978" s="36">
        <v>8</v>
      </c>
      <c r="H2978" s="141">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09" t="str">
        <f>VLOOKUP(B2978,辅助信息!E:J,6,FALSE)</f>
        <v>现场要求调度统一联系指定收货人，不单独发司机位置。锈货不收，装货前联系收货人核实到场规格,没提前告知进场规格现场不给予接收</v>
      </c>
      <c r="O2978" s="62" t="str">
        <f ca="1" t="shared" si="173"/>
        <v/>
      </c>
      <c r="P2978" s="62"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0">
        <v>45894</v>
      </c>
      <c r="D2979" s="40" t="str">
        <f>VLOOKUP(B2979,辅助信息!E:K,7,FALSE)</f>
        <v>JWDD2025071500089</v>
      </c>
      <c r="E2979" s="40" t="str">
        <f>VLOOKUP(F2979,辅助信息!A:B,2,FALSE)</f>
        <v>螺纹钢</v>
      </c>
      <c r="F2979" s="40" t="s">
        <v>28</v>
      </c>
      <c r="G2979" s="36">
        <v>15</v>
      </c>
      <c r="H2979" s="141">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09" t="str">
        <f>VLOOKUP(B2979,辅助信息!E:J,6,FALSE)</f>
        <v>现场要求调度统一联系指定收货人，不单独发司机位置。锈货不收，装货前联系收货人核实到场规格,没提前告知进场规格现场不给予接收</v>
      </c>
      <c r="O2979" s="62" t="str">
        <f ca="1" t="shared" si="173"/>
        <v/>
      </c>
      <c r="P2979" s="62"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0">
        <v>45894</v>
      </c>
      <c r="D2980" s="40" t="str">
        <f>VLOOKUP(B2980,辅助信息!E:K,7,FALSE)</f>
        <v>JWDD2025071500089</v>
      </c>
      <c r="E2980" s="40" t="str">
        <f>VLOOKUP(F2980,辅助信息!A:B,2,FALSE)</f>
        <v>螺纹钢</v>
      </c>
      <c r="F2980" s="40" t="s">
        <v>18</v>
      </c>
      <c r="G2980" s="36">
        <v>15</v>
      </c>
      <c r="H2980" s="141">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09" t="str">
        <f>VLOOKUP(B2980,辅助信息!E:J,6,FALSE)</f>
        <v>现场要求调度统一联系指定收货人，不单独发司机位置。锈货不收，装货前联系收货人核实到场规格,没提前告知进场规格现场不给予接收</v>
      </c>
      <c r="O2980" s="62" t="str">
        <f ca="1" t="shared" si="173"/>
        <v/>
      </c>
      <c r="P2980" s="62"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0">
        <v>45894</v>
      </c>
      <c r="D2981" s="40" t="str">
        <f>VLOOKUP(B2981,辅助信息!E:K,7,FALSE)</f>
        <v>JWDDCD2025072900121</v>
      </c>
      <c r="E2981" s="40" t="str">
        <f>VLOOKUP(F2981,辅助信息!A:B,2,FALSE)</f>
        <v>盘螺</v>
      </c>
      <c r="F2981" s="40" t="s">
        <v>49</v>
      </c>
      <c r="G2981" s="36">
        <v>20</v>
      </c>
      <c r="H2981" s="141">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09" t="str">
        <f>VLOOKUP(B2981,辅助信息!E:J,6,FALSE)</f>
        <v>联系实际收货人（范增云13668153241）现场要求炉批号控制2个以下，超2个不给予签收。提前联系到场规格及数量</v>
      </c>
      <c r="O2981" s="62" t="str">
        <f ca="1" t="shared" si="173"/>
        <v/>
      </c>
      <c r="P2981" s="62"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0">
        <v>45894</v>
      </c>
      <c r="D2982" s="40" t="str">
        <f>VLOOKUP(B2982,辅助信息!E:K,7,FALSE)</f>
        <v>JWDDCD2025072900121</v>
      </c>
      <c r="E2982" s="40" t="str">
        <f>VLOOKUP(F2982,辅助信息!A:B,2,FALSE)</f>
        <v>盘螺</v>
      </c>
      <c r="F2982" s="40" t="s">
        <v>40</v>
      </c>
      <c r="G2982" s="36">
        <v>40</v>
      </c>
      <c r="H2982" s="141">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09" t="str">
        <f>VLOOKUP(B2982,辅助信息!E:J,6,FALSE)</f>
        <v>联系实际收货人（范增云13668153241）现场要求炉批号控制2个以下，超2个不给予签收。提前联系到场规格及数量</v>
      </c>
      <c r="O2982" s="62" t="str">
        <f ca="1" t="shared" si="173"/>
        <v/>
      </c>
      <c r="P2982" s="62"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0">
        <v>45894</v>
      </c>
      <c r="D2983" s="40" t="str">
        <f>VLOOKUP(B2983,辅助信息!E:K,7,FALSE)</f>
        <v>JWDDCD2025072900121</v>
      </c>
      <c r="E2983" s="40" t="str">
        <f>VLOOKUP(F2983,辅助信息!A:B,2,FALSE)</f>
        <v>盘螺</v>
      </c>
      <c r="F2983" s="40" t="s">
        <v>41</v>
      </c>
      <c r="G2983" s="36">
        <v>30</v>
      </c>
      <c r="H2983" s="141">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09" t="str">
        <f>VLOOKUP(B2983,辅助信息!E:J,6,FALSE)</f>
        <v>联系实际收货人（范增云13668153241）现场要求炉批号控制2个以下，超2个不给予签收。提前联系到场规格及数量</v>
      </c>
      <c r="O2983" s="62" t="str">
        <f ca="1" t="shared" si="173"/>
        <v/>
      </c>
      <c r="P2983" s="62"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0">
        <v>45894</v>
      </c>
      <c r="D2984" s="40" t="str">
        <f>VLOOKUP(B2984,辅助信息!E:K,7,FALSE)</f>
        <v>JWDDCD2025072900121</v>
      </c>
      <c r="E2984" s="40" t="str">
        <f>VLOOKUP(F2984,辅助信息!A:B,2,FALSE)</f>
        <v>螺纹钢</v>
      </c>
      <c r="F2984" s="40" t="s">
        <v>19</v>
      </c>
      <c r="G2984" s="36">
        <v>10</v>
      </c>
      <c r="H2984" s="141">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09" t="str">
        <f>VLOOKUP(B2984,辅助信息!E:J,6,FALSE)</f>
        <v>联系实际收货人（范增云13668153241）现场要求炉批号控制2个以下，超2个不给予签收。提前联系到场规格及数量</v>
      </c>
      <c r="O2984" s="62" t="str">
        <f ca="1" t="shared" si="173"/>
        <v/>
      </c>
      <c r="P2984" s="62"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0">
        <v>45894</v>
      </c>
      <c r="D2985" s="40" t="str">
        <f>VLOOKUP(B2985,辅助信息!E:K,7,FALSE)</f>
        <v>JWDDCD2025072900121</v>
      </c>
      <c r="E2985" s="40" t="str">
        <f>VLOOKUP(F2985,辅助信息!A:B,2,FALSE)</f>
        <v>螺纹钢</v>
      </c>
      <c r="F2985" s="40" t="s">
        <v>33</v>
      </c>
      <c r="G2985" s="36">
        <v>7</v>
      </c>
      <c r="H2985" s="141">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09" t="str">
        <f>VLOOKUP(B2985,辅助信息!E:J,6,FALSE)</f>
        <v>联系实际收货人（范增云13668153241）现场要求炉批号控制2个以下，超2个不给予签收。提前联系到场规格及数量</v>
      </c>
      <c r="O2985" s="62" t="str">
        <f ca="1" t="shared" si="173"/>
        <v/>
      </c>
      <c r="P2985" s="62"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0">
        <v>45894</v>
      </c>
      <c r="D2986" s="40" t="str">
        <f>VLOOKUP(B2986,辅助信息!E:K,7,FALSE)</f>
        <v>JWDDCD2025072900121</v>
      </c>
      <c r="E2986" s="40" t="str">
        <f>VLOOKUP(F2986,辅助信息!A:B,2,FALSE)</f>
        <v>螺纹钢</v>
      </c>
      <c r="F2986" s="40" t="s">
        <v>28</v>
      </c>
      <c r="G2986" s="36">
        <v>3</v>
      </c>
      <c r="H2986" s="141">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09" t="str">
        <f>VLOOKUP(B2986,辅助信息!E:J,6,FALSE)</f>
        <v>联系实际收货人（范增云13668153241）现场要求炉批号控制2个以下，超2个不给予签收。提前联系到场规格及数量</v>
      </c>
      <c r="O2986" s="62" t="str">
        <f ca="1" t="shared" si="173"/>
        <v/>
      </c>
      <c r="P2986" s="62"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0">
        <v>45894</v>
      </c>
      <c r="D2987" s="40" t="str">
        <f>VLOOKUP(B2987,辅助信息!E:K,7,FALSE)</f>
        <v>JWDDCD2025072900121</v>
      </c>
      <c r="E2987" s="40" t="str">
        <f>VLOOKUP(F2987,辅助信息!A:B,2,FALSE)</f>
        <v>螺纹钢</v>
      </c>
      <c r="F2987" s="40" t="s">
        <v>18</v>
      </c>
      <c r="G2987" s="36">
        <v>17</v>
      </c>
      <c r="H2987" s="141">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09" t="str">
        <f>VLOOKUP(B2987,辅助信息!E:J,6,FALSE)</f>
        <v>联系实际收货人（范增云13668153241）现场要求炉批号控制2个以下，超2个不给予签收。提前联系到场规格及数量</v>
      </c>
      <c r="O2987" s="62" t="str">
        <f ca="1" t="shared" si="173"/>
        <v/>
      </c>
      <c r="P2987" s="62"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0">
        <v>45894</v>
      </c>
      <c r="D2988" s="40" t="str">
        <f>VLOOKUP(B2988,辅助信息!E:K,7,FALSE)</f>
        <v>JWDDCD2025072900121</v>
      </c>
      <c r="E2988" s="40" t="str">
        <f>VLOOKUP(F2988,辅助信息!A:B,2,FALSE)</f>
        <v>螺纹钢</v>
      </c>
      <c r="F2988" s="40" t="s">
        <v>65</v>
      </c>
      <c r="G2988" s="36">
        <v>26</v>
      </c>
      <c r="H2988" s="141">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09" t="str">
        <f>VLOOKUP(B2988,辅助信息!E:J,6,FALSE)</f>
        <v>联系实际收货人（范增云13668153241）现场要求炉批号控制2个以下，超2个不给予签收。提前联系到场规格及数量</v>
      </c>
      <c r="O2988" s="62" t="str">
        <f ca="1" t="shared" si="173"/>
        <v/>
      </c>
      <c r="P2988" s="62"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0">
        <v>45894</v>
      </c>
      <c r="D2989" s="40" t="str">
        <f>VLOOKUP(B2989,辅助信息!E:K,7,FALSE)</f>
        <v>JWDDCD2025072900121</v>
      </c>
      <c r="E2989" s="40" t="str">
        <f>VLOOKUP(F2989,辅助信息!A:B,2,FALSE)</f>
        <v>螺纹钢</v>
      </c>
      <c r="F2989" s="40" t="s">
        <v>52</v>
      </c>
      <c r="G2989" s="36">
        <v>3</v>
      </c>
      <c r="H2989" s="141">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09" t="str">
        <f>VLOOKUP(B2989,辅助信息!E:J,6,FALSE)</f>
        <v>联系实际收货人（范增云13668153241）现场要求炉批号控制2个以下，超2个不给予签收。提前联系到场规格及数量</v>
      </c>
      <c r="O2989" s="62" t="str">
        <f ca="1" t="shared" si="173"/>
        <v/>
      </c>
      <c r="P2989" s="62"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0">
        <v>45894</v>
      </c>
      <c r="D2990" s="40" t="str">
        <f>VLOOKUP(B2990,辅助信息!E:K,7,FALSE)</f>
        <v>JWDDCD2025072900121</v>
      </c>
      <c r="E2990" s="40" t="str">
        <f>VLOOKUP(F2990,辅助信息!A:B,2,FALSE)</f>
        <v>螺纹钢</v>
      </c>
      <c r="F2990" s="40" t="s">
        <v>82</v>
      </c>
      <c r="G2990" s="36">
        <v>6</v>
      </c>
      <c r="H2990" s="141">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09" t="str">
        <f>VLOOKUP(B2990,辅助信息!E:J,6,FALSE)</f>
        <v>联系实际收货人（范增云13668153241）现场要求炉批号控制2个以下，超2个不给予签收。提前联系到场规格及数量</v>
      </c>
      <c r="O2990" s="62" t="str">
        <f ca="1" t="shared" si="173"/>
        <v/>
      </c>
      <c r="P2990" s="62"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0">
        <v>45894</v>
      </c>
      <c r="D2991" s="40" t="str">
        <f>VLOOKUP(B2991,辅助信息!E:K,7,FALSE)</f>
        <v>JWDDCD2025072900121</v>
      </c>
      <c r="E2991" s="40" t="str">
        <f>VLOOKUP(F2991,辅助信息!A:B,2,FALSE)</f>
        <v>螺纹钢</v>
      </c>
      <c r="F2991" s="40" t="s">
        <v>45</v>
      </c>
      <c r="G2991" s="36">
        <v>6</v>
      </c>
      <c r="H2991" s="141">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09" t="str">
        <f>VLOOKUP(B2991,辅助信息!E:J,6,FALSE)</f>
        <v>联系实际收货人（范增云13668153241）现场要求炉批号控制2个以下，超2个不给予签收。提前联系到场规格及数量</v>
      </c>
      <c r="O2991" s="62" t="str">
        <f ca="1" t="shared" si="173"/>
        <v/>
      </c>
      <c r="P2991" s="62"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0">
        <v>45894</v>
      </c>
      <c r="D2992" s="40" t="str">
        <f>VLOOKUP(B2992,辅助信息!E:K,7,FALSE)</f>
        <v>JWDDCD2025072900121</v>
      </c>
      <c r="E2992" s="40" t="str">
        <f>VLOOKUP(F2992,辅助信息!A:B,2,FALSE)</f>
        <v>螺纹钢</v>
      </c>
      <c r="F2992" s="40" t="s">
        <v>21</v>
      </c>
      <c r="G2992" s="36">
        <v>3</v>
      </c>
      <c r="H2992" s="141">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09" t="str">
        <f>VLOOKUP(B2992,辅助信息!E:J,6,FALSE)</f>
        <v>联系实际收货人（范增云13668153241）现场要求炉批号控制2个以下，超2个不给予签收。提前联系到场规格及数量</v>
      </c>
      <c r="O2992" s="62" t="str">
        <f ca="1" t="shared" si="173"/>
        <v/>
      </c>
      <c r="P2992" s="62"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0">
        <v>45894</v>
      </c>
      <c r="D2993" s="40" t="str">
        <f>VLOOKUP(B2993,辅助信息!E:K,7,FALSE)</f>
        <v>JWDDCD2025072900121</v>
      </c>
      <c r="E2993" s="40" t="str">
        <f>VLOOKUP(F2993,辅助信息!A:B,2,FALSE)</f>
        <v>螺纹钢</v>
      </c>
      <c r="F2993" s="40" t="s">
        <v>46</v>
      </c>
      <c r="G2993" s="36">
        <v>15</v>
      </c>
      <c r="H2993" s="141">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09" t="str">
        <f>VLOOKUP(B2993,辅助信息!E:J,6,FALSE)</f>
        <v>联系实际收货人（范增云13668153241）现场要求炉批号控制2个以下，超2个不给予签收。提前联系到场规格及数量</v>
      </c>
      <c r="O2993" s="62" t="str">
        <f ca="1" t="shared" si="173"/>
        <v/>
      </c>
      <c r="P2993" s="62"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0">
        <v>45894</v>
      </c>
      <c r="D2994" s="40" t="str">
        <f>VLOOKUP(B2994,辅助信息!E:K,7,FALSE)</f>
        <v>JWDDCD2025072900121</v>
      </c>
      <c r="E2994" s="40" t="str">
        <f>VLOOKUP(F2994,辅助信息!A:B,2,FALSE)</f>
        <v>螺纹钢</v>
      </c>
      <c r="F2994" s="40" t="s">
        <v>22</v>
      </c>
      <c r="G2994" s="36">
        <v>20</v>
      </c>
      <c r="H2994" s="141">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09" t="str">
        <f>VLOOKUP(B2994,辅助信息!E:J,6,FALSE)</f>
        <v>联系实际收货人（范增云13668153241）现场要求炉批号控制2个以下，超2个不给予签收。提前联系到场规格及数量</v>
      </c>
      <c r="O2994" s="62" t="str">
        <f ca="1" t="shared" si="173"/>
        <v/>
      </c>
      <c r="P2994" s="62"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0">
        <v>45894</v>
      </c>
      <c r="D2995" s="40" t="str">
        <f>VLOOKUP(B2995,辅助信息!E:K,7,FALSE)</f>
        <v>JWDDCD2025051800044</v>
      </c>
      <c r="E2995" s="40" t="str">
        <f>VLOOKUP(F2995,辅助信息!A:B,2,FALSE)</f>
        <v>螺纹钢</v>
      </c>
      <c r="F2995" s="40" t="s">
        <v>28</v>
      </c>
      <c r="G2995" s="36">
        <v>35</v>
      </c>
      <c r="H2995" s="141"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09"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2" t="str">
        <f ca="1" t="shared" si="173"/>
        <v/>
      </c>
      <c r="P2995" s="62"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0">
        <v>45895</v>
      </c>
      <c r="D2996" s="40" t="str">
        <f>VLOOKUP(B2996,辅助信息!E:K,7,FALSE)</f>
        <v>JWDDCD2025052800131</v>
      </c>
      <c r="E2996" s="40" t="str">
        <f>VLOOKUP(F2996,辅助信息!A:B,2,FALSE)</f>
        <v>盘螺</v>
      </c>
      <c r="F2996" s="40" t="s">
        <v>40</v>
      </c>
      <c r="G2996" s="36">
        <v>45</v>
      </c>
      <c r="H2996" s="120">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09" t="str">
        <f>VLOOKUP(B2996,辅助信息!E:J,6,FALSE)</f>
        <v>控制炉批号！多了现场不收！,优先安排达钢,提前联系到场规格及数量</v>
      </c>
      <c r="O2996" s="62" t="str">
        <f ca="1" t="shared" si="173"/>
        <v/>
      </c>
      <c r="P2996" s="62"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0">
        <v>45895</v>
      </c>
      <c r="D2997" s="40" t="str">
        <f>VLOOKUP(B2997,辅助信息!E:K,7,FALSE)</f>
        <v>JWDDCD2025052800131</v>
      </c>
      <c r="E2997" s="40" t="str">
        <f>VLOOKUP(F2997,辅助信息!A:B,2,FALSE)</f>
        <v>螺纹钢</v>
      </c>
      <c r="F2997" s="40" t="s">
        <v>32</v>
      </c>
      <c r="G2997" s="36">
        <v>3</v>
      </c>
      <c r="H2997" s="120"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09" t="str">
        <f>VLOOKUP(B2997,辅助信息!E:J,6,FALSE)</f>
        <v>控制炉批号！多了现场不收！,优先安排达钢,提前联系到场规格及数量</v>
      </c>
      <c r="O2997" s="62" t="str">
        <f ca="1" t="shared" si="173"/>
        <v/>
      </c>
      <c r="P2997" s="62"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0">
        <v>45895</v>
      </c>
      <c r="D2998" s="40" t="str">
        <f>VLOOKUP(B2998,辅助信息!E:K,7,FALSE)</f>
        <v>JWDDCD2025052800131</v>
      </c>
      <c r="E2998" s="40" t="str">
        <f>VLOOKUP(F2998,辅助信息!A:B,2,FALSE)</f>
        <v>螺纹钢</v>
      </c>
      <c r="F2998" s="40" t="s">
        <v>30</v>
      </c>
      <c r="G2998" s="36">
        <v>6</v>
      </c>
      <c r="H2998" s="120"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09" t="str">
        <f>VLOOKUP(B2998,辅助信息!E:J,6,FALSE)</f>
        <v>控制炉批号！多了现场不收！,优先安排达钢,提前联系到场规格及数量</v>
      </c>
      <c r="O2998" s="62" t="str">
        <f ca="1" t="shared" si="173"/>
        <v/>
      </c>
      <c r="P2998" s="62"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0">
        <v>45895</v>
      </c>
      <c r="D2999" s="40" t="str">
        <f>VLOOKUP(B2999,辅助信息!E:K,7,FALSE)</f>
        <v>JWDDCD2025052800131</v>
      </c>
      <c r="E2999" s="40" t="str">
        <f>VLOOKUP(F2999,辅助信息!A:B,2,FALSE)</f>
        <v>盘螺</v>
      </c>
      <c r="F2999" s="40" t="s">
        <v>40</v>
      </c>
      <c r="G2999" s="36">
        <v>13</v>
      </c>
      <c r="H2999" s="120"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09" t="str">
        <f>VLOOKUP(B2999,辅助信息!E:J,6,FALSE)</f>
        <v>控制炉批号！多了现场不收！,优先安排达钢,提前联系到场规格及数量</v>
      </c>
      <c r="O2999" s="62" t="str">
        <f ca="1" t="shared" si="173"/>
        <v/>
      </c>
      <c r="P2999" s="62"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0">
        <v>45895</v>
      </c>
      <c r="D3000" s="40" t="str">
        <f>VLOOKUP(B3000,辅助信息!E:K,7,FALSE)</f>
        <v>JWDDCD2025052800131</v>
      </c>
      <c r="E3000" s="40" t="str">
        <f>VLOOKUP(F3000,辅助信息!A:B,2,FALSE)</f>
        <v>螺纹钢</v>
      </c>
      <c r="F3000" s="40" t="s">
        <v>30</v>
      </c>
      <c r="G3000" s="36">
        <v>6</v>
      </c>
      <c r="H3000" s="120"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09" t="str">
        <f>VLOOKUP(B3000,辅助信息!E:J,6,FALSE)</f>
        <v>控制炉批号！多了现场不收！,优先安排达钢,提前联系到场规格及数量</v>
      </c>
      <c r="O3000" s="62" t="str">
        <f ca="1" t="shared" si="173"/>
        <v/>
      </c>
      <c r="P3000" s="62"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0">
        <v>45895</v>
      </c>
      <c r="D3001" s="40" t="str">
        <f>VLOOKUP(B3001,辅助信息!E:K,7,FALSE)</f>
        <v>JWDDCD2025052800131</v>
      </c>
      <c r="E3001" s="40" t="str">
        <f>VLOOKUP(F3001,辅助信息!A:B,2,FALSE)</f>
        <v>螺纹钢</v>
      </c>
      <c r="F3001" s="40" t="s">
        <v>21</v>
      </c>
      <c r="G3001" s="36">
        <v>6</v>
      </c>
      <c r="H3001" s="120"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09" t="str">
        <f>VLOOKUP(B3001,辅助信息!E:J,6,FALSE)</f>
        <v>控制炉批号！多了现场不收！,优先安排达钢,提前联系到场规格及数量</v>
      </c>
      <c r="O3001" s="62" t="str">
        <f ca="1" t="shared" si="173"/>
        <v/>
      </c>
      <c r="P3001" s="62"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0">
        <v>45895</v>
      </c>
      <c r="D3002" s="40" t="str">
        <f>VLOOKUP(B3002,辅助信息!E:K,7,FALSE)</f>
        <v>JWDDCD2025052800131</v>
      </c>
      <c r="E3002" s="40" t="str">
        <f>VLOOKUP(F3002,辅助信息!A:B,2,FALSE)</f>
        <v>螺纹钢</v>
      </c>
      <c r="F3002" s="40" t="s">
        <v>58</v>
      </c>
      <c r="G3002" s="36">
        <v>12</v>
      </c>
      <c r="H3002" s="120"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09" t="str">
        <f>VLOOKUP(B3002,辅助信息!E:J,6,FALSE)</f>
        <v>控制炉批号！多了现场不收！,优先安排达钢,提前联系到场规格及数量</v>
      </c>
      <c r="O3002" s="62" t="str">
        <f ca="1" t="shared" si="173"/>
        <v/>
      </c>
      <c r="P3002" s="62"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0">
        <v>45895</v>
      </c>
      <c r="D3003" s="40" t="str">
        <f>VLOOKUP(B3003,辅助信息!E:K,7,FALSE)</f>
        <v>JWDDCD2025102100480</v>
      </c>
      <c r="E3003" s="40" t="str">
        <f>VLOOKUP(F3003,辅助信息!A:B,2,FALSE)</f>
        <v>高线</v>
      </c>
      <c r="F3003" s="40" t="s">
        <v>61</v>
      </c>
      <c r="G3003" s="36">
        <v>21.6</v>
      </c>
      <c r="H3003" s="120"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09" t="str">
        <f>VLOOKUP(B3003,辅助信息!E:J,6,FALSE)</f>
        <v>联系实际收货人（陶杰13980247952）五冶建设送货单,6份材质书,锈货不收，装货前联系收货人核实到场规格,没提前告知进场规格现场不给予接收</v>
      </c>
      <c r="O3003" s="62" t="str">
        <f ca="1" t="shared" si="173"/>
        <v/>
      </c>
      <c r="P3003" s="62"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0">
        <v>45895</v>
      </c>
      <c r="D3004" s="40" t="str">
        <f>VLOOKUP(B3004,辅助信息!E:K,7,FALSE)</f>
        <v>JWDDCD2025102100480</v>
      </c>
      <c r="E3004" s="40" t="str">
        <f>VLOOKUP(F3004,辅助信息!A:B,2,FALSE)</f>
        <v>螺纹钢</v>
      </c>
      <c r="F3004" s="40" t="s">
        <v>30</v>
      </c>
      <c r="G3004" s="36">
        <v>11</v>
      </c>
      <c r="H3004" s="120"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09" t="str">
        <f>VLOOKUP(B3004,辅助信息!E:J,6,FALSE)</f>
        <v>联系实际收货人（陶杰13980247952）五冶建设送货单,6份材质书,锈货不收，装货前联系收货人核实到场规格,没提前告知进场规格现场不给予接收</v>
      </c>
      <c r="O3004" s="62" t="str">
        <f ca="1" t="shared" si="173"/>
        <v/>
      </c>
      <c r="P3004" s="62"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0">
        <v>45895</v>
      </c>
      <c r="D3005" s="40" t="str">
        <f>VLOOKUP(B3005,辅助信息!E:K,7,FALSE)</f>
        <v>JWDDCD2025102100480</v>
      </c>
      <c r="E3005" s="40" t="str">
        <f>VLOOKUP(F3005,辅助信息!A:B,2,FALSE)</f>
        <v>螺纹钢</v>
      </c>
      <c r="F3005" s="40" t="s">
        <v>28</v>
      </c>
      <c r="G3005" s="36">
        <v>2.7</v>
      </c>
      <c r="H3005" s="120"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09" t="str">
        <f>VLOOKUP(B3005,辅助信息!E:J,6,FALSE)</f>
        <v>联系实际收货人（陶杰13980247952）五冶建设送货单,6份材质书,锈货不收，装货前联系收货人核实到场规格,没提前告知进场规格现场不给予接收</v>
      </c>
      <c r="O3005" s="62" t="str">
        <f ca="1" t="shared" si="173"/>
        <v/>
      </c>
      <c r="P3005" s="62"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0">
        <v>45895</v>
      </c>
      <c r="D3006" s="40" t="str">
        <f>VLOOKUP(B3006,辅助信息!E:K,7,FALSE)</f>
        <v>JWDDCD2025102100475</v>
      </c>
      <c r="E3006" s="40" t="str">
        <f>VLOOKUP(F3006,辅助信息!A:B,2,FALSE)</f>
        <v>盘螺</v>
      </c>
      <c r="F3006" s="40" t="s">
        <v>40</v>
      </c>
      <c r="G3006" s="36">
        <v>9</v>
      </c>
      <c r="H3006" s="120">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09"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2" t="str">
        <f ca="1" t="shared" si="173"/>
        <v/>
      </c>
      <c r="P3006" s="62"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0">
        <v>45895</v>
      </c>
      <c r="D3007" s="40" t="str">
        <f>VLOOKUP(B3007,辅助信息!E:K,7,FALSE)</f>
        <v>JWDDCD2025102100475</v>
      </c>
      <c r="E3007" s="40" t="str">
        <f>VLOOKUP(F3007,辅助信息!A:B,2,FALSE)</f>
        <v>盘螺</v>
      </c>
      <c r="F3007" s="40" t="s">
        <v>26</v>
      </c>
      <c r="G3007" s="36">
        <v>9</v>
      </c>
      <c r="H3007" s="120">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09"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2" t="str">
        <f ca="1" t="shared" si="173"/>
        <v/>
      </c>
      <c r="P3007" s="62"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0">
        <v>45895</v>
      </c>
      <c r="D3008" s="40" t="str">
        <f>VLOOKUP(B3008,辅助信息!E:K,7,FALSE)</f>
        <v>JWDDCD2025102100475</v>
      </c>
      <c r="E3008" s="40" t="str">
        <f>VLOOKUP(F3008,辅助信息!A:B,2,FALSE)</f>
        <v>螺纹钢</v>
      </c>
      <c r="F3008" s="40" t="s">
        <v>32</v>
      </c>
      <c r="G3008" s="36">
        <v>3</v>
      </c>
      <c r="H3008" s="120">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09"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2" t="str">
        <f ca="1" t="shared" si="173"/>
        <v/>
      </c>
      <c r="P3008" s="62"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0">
        <v>45895</v>
      </c>
      <c r="D3009" s="40" t="str">
        <f>VLOOKUP(B3009,辅助信息!E:K,7,FALSE)</f>
        <v>JWDDCD2025102100475</v>
      </c>
      <c r="E3009" s="40" t="str">
        <f>VLOOKUP(F3009,辅助信息!A:B,2,FALSE)</f>
        <v>螺纹钢</v>
      </c>
      <c r="F3009" s="40" t="s">
        <v>30</v>
      </c>
      <c r="G3009" s="36">
        <v>5</v>
      </c>
      <c r="H3009" s="120">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09"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2" t="str">
        <f ca="1" t="shared" si="173"/>
        <v/>
      </c>
      <c r="P3009" s="62"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0">
        <v>45895</v>
      </c>
      <c r="D3010" s="40" t="str">
        <f>VLOOKUP(B3010,辅助信息!E:K,7,FALSE)</f>
        <v>JWDDCD2025102100475</v>
      </c>
      <c r="E3010" s="40" t="str">
        <f>VLOOKUP(F3010,辅助信息!A:B,2,FALSE)</f>
        <v>螺纹钢</v>
      </c>
      <c r="F3010" s="40" t="s">
        <v>33</v>
      </c>
      <c r="G3010" s="36">
        <v>9</v>
      </c>
      <c r="H3010" s="120">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09"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2" t="str">
        <f ca="1" t="shared" si="173"/>
        <v/>
      </c>
      <c r="P3010" s="62"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0">
        <v>45895</v>
      </c>
      <c r="D3011" s="40" t="str">
        <f>VLOOKUP(B3011,辅助信息!E:K,7,FALSE)</f>
        <v>JWDDCD2025072900123</v>
      </c>
      <c r="E3011" s="40" t="str">
        <f>VLOOKUP(F3011,辅助信息!A:B,2,FALSE)</f>
        <v>螺纹钢</v>
      </c>
      <c r="F3011" s="40" t="s">
        <v>27</v>
      </c>
      <c r="G3011" s="36">
        <v>1.5</v>
      </c>
      <c r="H3011" s="120">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09" t="str">
        <f>VLOOKUP(B3011,辅助信息!E:J,6,FALSE)</f>
        <v>联系实际收货人（彭江涛13990276572）现场要求炉批号控制2个以下，超2个不给予签收。提前联系到场规格及数量</v>
      </c>
      <c r="O3011" s="62" t="str">
        <f ca="1" t="shared" si="173"/>
        <v/>
      </c>
      <c r="P3011" s="62"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0">
        <v>45895</v>
      </c>
      <c r="D3012" s="40" t="str">
        <f>VLOOKUP(B3012,辅助信息!E:K,7,FALSE)</f>
        <v>JWDDCD2025072900123</v>
      </c>
      <c r="E3012" s="40" t="str">
        <f>VLOOKUP(F3012,辅助信息!A:B,2,FALSE)</f>
        <v>螺纹钢</v>
      </c>
      <c r="F3012" s="40" t="s">
        <v>19</v>
      </c>
      <c r="G3012" s="36">
        <v>1.5</v>
      </c>
      <c r="H3012" s="120">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09" t="str">
        <f>VLOOKUP(B3012,辅助信息!E:J,6,FALSE)</f>
        <v>联系实际收货人（彭江涛13990276572）现场要求炉批号控制2个以下，超2个不给予签收。提前联系到场规格及数量</v>
      </c>
      <c r="O3012" s="62" t="str">
        <f ca="1" t="shared" si="173"/>
        <v/>
      </c>
      <c r="P3012" s="62"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0">
        <v>45895</v>
      </c>
      <c r="D3013" s="40" t="str">
        <f>VLOOKUP(B3013,辅助信息!E:K,7,FALSE)</f>
        <v>JWDDCD2025072900123</v>
      </c>
      <c r="E3013" s="40" t="str">
        <f>VLOOKUP(F3013,辅助信息!A:B,2,FALSE)</f>
        <v>螺纹钢</v>
      </c>
      <c r="F3013" s="40" t="s">
        <v>32</v>
      </c>
      <c r="G3013" s="36">
        <v>17</v>
      </c>
      <c r="H3013" s="120">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09" t="str">
        <f>VLOOKUP(B3013,辅助信息!E:J,6,FALSE)</f>
        <v>联系实际收货人（彭江涛13990276572）现场要求炉批号控制2个以下，超2个不给予签收。提前联系到场规格及数量</v>
      </c>
      <c r="O3013" s="62" t="str">
        <f ca="1" t="shared" si="173"/>
        <v/>
      </c>
      <c r="P3013" s="62"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0">
        <v>45895</v>
      </c>
      <c r="D3014" s="40" t="str">
        <f>VLOOKUP(B3014,辅助信息!E:K,7,FALSE)</f>
        <v>JWDDCD2025072900123</v>
      </c>
      <c r="E3014" s="40" t="str">
        <f>VLOOKUP(F3014,辅助信息!A:B,2,FALSE)</f>
        <v>螺纹钢</v>
      </c>
      <c r="F3014" s="40" t="s">
        <v>30</v>
      </c>
      <c r="G3014" s="36">
        <v>3</v>
      </c>
      <c r="H3014" s="120">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09" t="str">
        <f>VLOOKUP(B3014,辅助信息!E:J,6,FALSE)</f>
        <v>联系实际收货人（彭江涛13990276572）现场要求炉批号控制2个以下，超2个不给予签收。提前联系到场规格及数量</v>
      </c>
      <c r="O3014" s="62" t="str">
        <f ca="1" t="shared" si="173"/>
        <v/>
      </c>
      <c r="P3014" s="62"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0">
        <v>45895</v>
      </c>
      <c r="D3015" s="40" t="str">
        <f>VLOOKUP(B3015,辅助信息!E:K,7,FALSE)</f>
        <v>JWDDCD2025072900123</v>
      </c>
      <c r="E3015" s="40" t="str">
        <f>VLOOKUP(F3015,辅助信息!A:B,2,FALSE)</f>
        <v>螺纹钢</v>
      </c>
      <c r="F3015" s="40" t="s">
        <v>33</v>
      </c>
      <c r="G3015" s="36">
        <v>3</v>
      </c>
      <c r="H3015" s="120">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09" t="str">
        <f>VLOOKUP(B3015,辅助信息!E:J,6,FALSE)</f>
        <v>联系实际收货人（彭江涛13990276572）现场要求炉批号控制2个以下，超2个不给予签收。提前联系到场规格及数量</v>
      </c>
      <c r="O3015" s="62" t="str">
        <f ca="1" t="shared" si="173"/>
        <v/>
      </c>
      <c r="P3015" s="62"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0">
        <v>45895</v>
      </c>
      <c r="D3016" s="40" t="str">
        <f>VLOOKUP(B3016,辅助信息!E:K,7,FALSE)</f>
        <v>JWDDCD2025072900123</v>
      </c>
      <c r="E3016" s="40" t="str">
        <f>VLOOKUP(F3016,辅助信息!A:B,2,FALSE)</f>
        <v>螺纹钢</v>
      </c>
      <c r="F3016" s="40" t="s">
        <v>28</v>
      </c>
      <c r="G3016" s="36">
        <v>2.5</v>
      </c>
      <c r="H3016" s="120">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09" t="str">
        <f>VLOOKUP(B3016,辅助信息!E:J,6,FALSE)</f>
        <v>联系实际收货人（彭江涛13990276572）现场要求炉批号控制2个以下，超2个不给予签收。提前联系到场规格及数量</v>
      </c>
      <c r="O3016" s="62" t="str">
        <f ca="1" t="shared" si="173"/>
        <v/>
      </c>
      <c r="P3016" s="62"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0">
        <v>45895</v>
      </c>
      <c r="D3017" s="40" t="str">
        <f>VLOOKUP(B3017,辅助信息!E:K,7,FALSE)</f>
        <v>JWDDCD2025072900123</v>
      </c>
      <c r="E3017" s="40" t="str">
        <f>VLOOKUP(F3017,辅助信息!A:B,2,FALSE)</f>
        <v>螺纹钢</v>
      </c>
      <c r="F3017" s="40" t="s">
        <v>18</v>
      </c>
      <c r="G3017" s="36">
        <v>18</v>
      </c>
      <c r="H3017" s="120"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09" t="str">
        <f>VLOOKUP(B3017,辅助信息!E:J,6,FALSE)</f>
        <v>联系实际收货人（彭江涛13990276572）现场要求炉批号控制2个以下，超2个不给予签收。提前联系到场规格及数量</v>
      </c>
      <c r="O3017" s="62" t="str">
        <f ca="1" t="shared" ref="O3017:O3080" si="175">IF(OR(M3017="",N3017&lt;&gt;""),"",MAX(M3017-TODAY(),0))</f>
        <v/>
      </c>
      <c r="P3017" s="62"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0">
        <v>45895</v>
      </c>
      <c r="D3018" s="40" t="str">
        <f>VLOOKUP(B3018,辅助信息!E:K,7,FALSE)</f>
        <v>JWDDCD2025072900123</v>
      </c>
      <c r="E3018" s="40" t="str">
        <f>VLOOKUP(F3018,辅助信息!A:B,2,FALSE)</f>
        <v>盘螺</v>
      </c>
      <c r="F3018" s="40" t="s">
        <v>26</v>
      </c>
      <c r="G3018" s="36">
        <v>1.5</v>
      </c>
      <c r="H3018" s="120">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09" t="str">
        <f>VLOOKUP(B3018,辅助信息!E:J,6,FALSE)</f>
        <v>联系实际收货人（彭江涛13990276572）现场要求炉批号控制2个以下，超2个不给予签收。提前联系到场规格及数量</v>
      </c>
      <c r="O3018" s="62" t="str">
        <f ca="1" t="shared" si="175"/>
        <v/>
      </c>
      <c r="P3018" s="62"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0">
        <v>45895</v>
      </c>
      <c r="D3019" s="40" t="str">
        <f>VLOOKUP(B3019,辅助信息!E:K,7,FALSE)</f>
        <v>JWDDCD2025072900123</v>
      </c>
      <c r="E3019" s="40" t="str">
        <f>VLOOKUP(F3019,辅助信息!A:B,2,FALSE)</f>
        <v>螺纹钢</v>
      </c>
      <c r="F3019" s="40" t="s">
        <v>76</v>
      </c>
      <c r="G3019" s="36">
        <v>36</v>
      </c>
      <c r="H3019" s="120">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09" t="str">
        <f>VLOOKUP(B3019,辅助信息!E:J,6,FALSE)</f>
        <v>联系实际收货人（彭江涛13990276572）现场要求炉批号控制2个以下，超2个不给予签收。提前联系到场规格及数量</v>
      </c>
      <c r="O3019" s="62" t="str">
        <f ca="1" t="shared" si="175"/>
        <v/>
      </c>
      <c r="P3019" s="62"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0">
        <v>45895</v>
      </c>
      <c r="D3020" s="40" t="str">
        <f>VLOOKUP(B3020,辅助信息!E:K,7,FALSE)</f>
        <v>JWDDCD2025072900123</v>
      </c>
      <c r="E3020" s="40" t="str">
        <f>VLOOKUP(F3020,辅助信息!A:B,2,FALSE)</f>
        <v>螺纹钢</v>
      </c>
      <c r="F3020" s="40" t="s">
        <v>90</v>
      </c>
      <c r="G3020" s="36">
        <v>36</v>
      </c>
      <c r="H3020" s="120">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09" t="str">
        <f>VLOOKUP(B3020,辅助信息!E:J,6,FALSE)</f>
        <v>联系实际收货人（彭江涛13990276572）现场要求炉批号控制2个以下，超2个不给予签收。提前联系到场规格及数量</v>
      </c>
      <c r="O3020" s="62" t="str">
        <f ca="1" t="shared" si="175"/>
        <v/>
      </c>
      <c r="P3020" s="62"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0">
        <v>45895</v>
      </c>
      <c r="D3021" s="40" t="str">
        <f>VLOOKUP(B3021,辅助信息!E:K,7,FALSE)</f>
        <v>JWDDCD2025072900123</v>
      </c>
      <c r="E3021" s="40" t="str">
        <f>VLOOKUP(F3021,辅助信息!A:B,2,FALSE)</f>
        <v>螺纹钢</v>
      </c>
      <c r="F3021" s="40" t="s">
        <v>130</v>
      </c>
      <c r="G3021" s="36">
        <v>3</v>
      </c>
      <c r="H3021" s="120">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09" t="str">
        <f>VLOOKUP(B3021,辅助信息!E:J,6,FALSE)</f>
        <v>联系实际收货人（彭江涛13990276572）现场要求炉批号控制2个以下，超2个不给予签收。提前联系到场规格及数量</v>
      </c>
      <c r="O3021" s="62" t="str">
        <f ca="1" t="shared" si="175"/>
        <v/>
      </c>
      <c r="P3021" s="62"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0">
        <v>45895</v>
      </c>
      <c r="D3022" s="40" t="str">
        <f>VLOOKUP(B3022,辅助信息!E:K,7,FALSE)</f>
        <v>JWDDCD2025072900123</v>
      </c>
      <c r="E3022" s="40" t="str">
        <f>VLOOKUP(F3022,辅助信息!A:B,2,FALSE)</f>
        <v>螺纹钢</v>
      </c>
      <c r="F3022" s="40" t="s">
        <v>138</v>
      </c>
      <c r="G3022" s="36">
        <v>3</v>
      </c>
      <c r="H3022" s="120">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09" t="str">
        <f>VLOOKUP(B3022,辅助信息!E:J,6,FALSE)</f>
        <v>联系实际收货人（彭江涛13990276572）现场要求炉批号控制2个以下，超2个不给予签收。提前联系到场规格及数量</v>
      </c>
      <c r="O3022" s="62" t="str">
        <f ca="1" t="shared" si="175"/>
        <v/>
      </c>
      <c r="P3022" s="62"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0">
        <v>45895</v>
      </c>
      <c r="D3023" s="40" t="str">
        <f>VLOOKUP(B3023,辅助信息!E:K,7,FALSE)</f>
        <v>JWDDCD2025072900123</v>
      </c>
      <c r="E3023" s="40" t="str">
        <f>VLOOKUP(F3023,辅助信息!A:B,2,FALSE)</f>
        <v>螺纹钢</v>
      </c>
      <c r="F3023" s="40" t="s">
        <v>133</v>
      </c>
      <c r="G3023" s="36">
        <v>2.5</v>
      </c>
      <c r="H3023" s="120">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09" t="str">
        <f>VLOOKUP(B3023,辅助信息!E:J,6,FALSE)</f>
        <v>联系实际收货人（彭江涛13990276572）现场要求炉批号控制2个以下，超2个不给予签收。提前联系到场规格及数量</v>
      </c>
      <c r="O3023" s="62" t="str">
        <f ca="1" t="shared" si="175"/>
        <v/>
      </c>
      <c r="P3023" s="62"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0">
        <v>45895</v>
      </c>
      <c r="D3024" s="40" t="str">
        <f>VLOOKUP(B3024,辅助信息!E:K,7,FALSE)</f>
        <v>JWDDCD2025072900123</v>
      </c>
      <c r="E3024" s="40" t="str">
        <f>VLOOKUP(F3024,辅助信息!A:B,2,FALSE)</f>
        <v>螺纹钢</v>
      </c>
      <c r="F3024" s="40" t="s">
        <v>18</v>
      </c>
      <c r="G3024" s="36">
        <v>5</v>
      </c>
      <c r="H3024" s="120"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09" t="str">
        <f>VLOOKUP(B3024,辅助信息!E:J,6,FALSE)</f>
        <v>联系实际收货人（彭江涛13990276572）现场要求炉批号控制2个以下，超2个不给予签收。提前联系到场规格及数量</v>
      </c>
      <c r="O3024" s="62" t="str">
        <f ca="1" t="shared" si="175"/>
        <v/>
      </c>
      <c r="P3024" s="62"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0">
        <v>45895</v>
      </c>
      <c r="D3025" s="40" t="str">
        <f>VLOOKUP(B3025,辅助信息!E:K,7,FALSE)</f>
        <v>JWDDCD2025072900123</v>
      </c>
      <c r="E3025" s="40" t="str">
        <f>VLOOKUP(F3025,辅助信息!A:B,2,FALSE)</f>
        <v>螺纹钢</v>
      </c>
      <c r="F3025" s="40" t="s">
        <v>91</v>
      </c>
      <c r="G3025" s="36">
        <v>5</v>
      </c>
      <c r="H3025" s="120"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09" t="str">
        <f>VLOOKUP(B3025,辅助信息!E:J,6,FALSE)</f>
        <v>联系实际收货人（彭江涛13990276572）现场要求炉批号控制2个以下，超2个不给予签收。提前联系到场规格及数量</v>
      </c>
      <c r="O3025" s="62" t="str">
        <f ca="1" t="shared" si="175"/>
        <v/>
      </c>
      <c r="P3025" s="62"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0">
        <v>45896</v>
      </c>
      <c r="D3026" s="40" t="str">
        <f>VLOOKUP(B3026,辅助信息!E:K,7,FALSE)</f>
        <v>JWDDCD2025102100480</v>
      </c>
      <c r="E3026" s="40" t="str">
        <f>VLOOKUP(F3026,辅助信息!A:B,2,FALSE)</f>
        <v>高线</v>
      </c>
      <c r="F3026" s="40" t="s">
        <v>61</v>
      </c>
      <c r="G3026" s="36">
        <v>21.6</v>
      </c>
      <c r="H3026" s="120">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09" t="str">
        <f>VLOOKUP(B3026,辅助信息!E:J,6,FALSE)</f>
        <v>联系实际收货人（陶杰13980247952）五冶建设送货单,6份材质书,锈货不收，装货前联系收货人核实到场规格,没提前告知进场规格现场不给予接收</v>
      </c>
      <c r="O3026" s="62" t="str">
        <f ca="1" t="shared" si="175"/>
        <v/>
      </c>
      <c r="P3026" s="62"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0">
        <v>45896</v>
      </c>
      <c r="D3027" s="40" t="str">
        <f>VLOOKUP(B3027,辅助信息!E:K,7,FALSE)</f>
        <v>JWDDCD2025102100480</v>
      </c>
      <c r="E3027" s="40" t="str">
        <f>VLOOKUP(F3027,辅助信息!A:B,2,FALSE)</f>
        <v>螺纹钢</v>
      </c>
      <c r="F3027" s="40" t="s">
        <v>30</v>
      </c>
      <c r="G3027" s="36">
        <v>11</v>
      </c>
      <c r="H3027" s="120">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09" t="str">
        <f>VLOOKUP(B3027,辅助信息!E:J,6,FALSE)</f>
        <v>联系实际收货人（陶杰13980247952）五冶建设送货单,6份材质书,锈货不收，装货前联系收货人核实到场规格,没提前告知进场规格现场不给予接收</v>
      </c>
      <c r="O3027" s="62" t="str">
        <f ca="1" t="shared" si="175"/>
        <v/>
      </c>
      <c r="P3027" s="62"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0">
        <v>45896</v>
      </c>
      <c r="D3028" s="40" t="str">
        <f>VLOOKUP(B3028,辅助信息!E:K,7,FALSE)</f>
        <v>JWDDCD2025102100480</v>
      </c>
      <c r="E3028" s="40" t="str">
        <f>VLOOKUP(F3028,辅助信息!A:B,2,FALSE)</f>
        <v>螺纹钢</v>
      </c>
      <c r="F3028" s="40" t="s">
        <v>28</v>
      </c>
      <c r="G3028" s="36">
        <v>2.7</v>
      </c>
      <c r="H3028" s="120">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09" t="str">
        <f>VLOOKUP(B3028,辅助信息!E:J,6,FALSE)</f>
        <v>联系实际收货人（陶杰13980247952）五冶建设送货单,6份材质书,锈货不收，装货前联系收货人核实到场规格,没提前告知进场规格现场不给予接收</v>
      </c>
      <c r="O3028" s="62" t="str">
        <f ca="1" t="shared" si="175"/>
        <v/>
      </c>
      <c r="P3028" s="62"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0">
        <v>45897</v>
      </c>
      <c r="D3029" s="40" t="str">
        <f>VLOOKUP(B3029,辅助信息!E:K,7,FALSE)</f>
        <v>JWDDCD2025060900080</v>
      </c>
      <c r="E3029" s="40" t="str">
        <f>VLOOKUP(F3029,辅助信息!A:B,2,FALSE)</f>
        <v>盘螺</v>
      </c>
      <c r="F3029" s="40" t="s">
        <v>49</v>
      </c>
      <c r="G3029" s="36">
        <v>2</v>
      </c>
      <c r="H3029" s="120">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09" t="str">
        <f>VLOOKUP(B3029,辅助信息!E:J,6,FALSE)</f>
        <v>现场禁止使用氢能源挂车！优先威钢发货,我方卸车,新老国标钢厂不加价可直发，因陕钢多次出现磅差，项目拒绝使用</v>
      </c>
      <c r="M3029" s="91">
        <v>45897</v>
      </c>
      <c r="O3029" s="62">
        <f ca="1" t="shared" si="175"/>
        <v>0</v>
      </c>
      <c r="P3029" s="62">
        <f ca="1" t="shared" si="176"/>
        <v>63</v>
      </c>
      <c r="Q3029" s="29" t="str">
        <f>VLOOKUP(B3029,辅助信息!E:M,9,FALSE)</f>
        <v>ZTWM-CDGS-XS-2024-0030-华西集采-简州大道</v>
      </c>
      <c r="R3029" s="29" t="str">
        <f>_xlfn._xlws.FILTER(辅助信息!D:D,辅助信息!E:E=B3029)</f>
        <v>华西简阳西城嘉苑</v>
      </c>
    </row>
    <row r="3030" hidden="1" spans="2:18">
      <c r="B3030" s="40" t="s">
        <v>81</v>
      </c>
      <c r="C3030" s="70">
        <v>45897</v>
      </c>
      <c r="D3030" s="40" t="str">
        <f>VLOOKUP(B3030,辅助信息!E:K,7,FALSE)</f>
        <v>JWDDCD2025060900080</v>
      </c>
      <c r="E3030" s="40" t="str">
        <f>VLOOKUP(F3030,辅助信息!A:B,2,FALSE)</f>
        <v>盘螺</v>
      </c>
      <c r="F3030" s="40" t="s">
        <v>41</v>
      </c>
      <c r="G3030" s="36">
        <v>105</v>
      </c>
      <c r="H3030" s="120">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09" t="str">
        <f>VLOOKUP(B3030,辅助信息!E:J,6,FALSE)</f>
        <v>现场禁止使用氢能源挂车！优先威钢发货,我方卸车,新老国标钢厂不加价可直发，因陕钢多次出现磅差，项目拒绝使用</v>
      </c>
      <c r="M3030" s="91">
        <v>45897</v>
      </c>
      <c r="O3030" s="62">
        <f ca="1" t="shared" si="175"/>
        <v>0</v>
      </c>
      <c r="P3030" s="62">
        <f ca="1" t="shared" si="176"/>
        <v>63</v>
      </c>
      <c r="Q3030" s="29" t="str">
        <f>VLOOKUP(B3030,辅助信息!E:M,9,FALSE)</f>
        <v>ZTWM-CDGS-XS-2024-0030-华西集采-简州大道</v>
      </c>
      <c r="R3030" s="29" t="str">
        <f>_xlfn._xlws.FILTER(辅助信息!D:D,辅助信息!E:E=B3030)</f>
        <v>华西简阳西城嘉苑</v>
      </c>
    </row>
    <row r="3031" hidden="1" spans="2:18">
      <c r="B3031" s="40" t="s">
        <v>81</v>
      </c>
      <c r="C3031" s="70">
        <v>45897</v>
      </c>
      <c r="D3031" s="40" t="str">
        <f>VLOOKUP(B3031,辅助信息!E:K,7,FALSE)</f>
        <v>JWDDCD2025060900080</v>
      </c>
      <c r="E3031" s="40" t="str">
        <f>VLOOKUP(F3031,辅助信息!A:B,2,FALSE)</f>
        <v>盘螺</v>
      </c>
      <c r="F3031" s="40" t="s">
        <v>26</v>
      </c>
      <c r="G3031" s="36">
        <v>12</v>
      </c>
      <c r="H3031" s="120">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09" t="str">
        <f>VLOOKUP(B3031,辅助信息!E:J,6,FALSE)</f>
        <v>现场禁止使用氢能源挂车！优先威钢发货,我方卸车,新老国标钢厂不加价可直发，因陕钢多次出现磅差，项目拒绝使用</v>
      </c>
      <c r="M3031" s="91">
        <v>45897</v>
      </c>
      <c r="O3031" s="62">
        <f ca="1" t="shared" si="175"/>
        <v>0</v>
      </c>
      <c r="P3031" s="62">
        <f ca="1" t="shared" si="176"/>
        <v>63</v>
      </c>
      <c r="Q3031" s="29" t="str">
        <f>VLOOKUP(B3031,辅助信息!E:M,9,FALSE)</f>
        <v>ZTWM-CDGS-XS-2024-0030-华西集采-简州大道</v>
      </c>
      <c r="R3031" s="29" t="str">
        <f>_xlfn._xlws.FILTER(辅助信息!D:D,辅助信息!E:E=B3031)</f>
        <v>华西简阳西城嘉苑</v>
      </c>
    </row>
    <row r="3032" hidden="1" spans="2:18">
      <c r="B3032" s="40" t="s">
        <v>81</v>
      </c>
      <c r="C3032" s="70">
        <v>45897</v>
      </c>
      <c r="D3032" s="40" t="str">
        <f>VLOOKUP(B3032,辅助信息!E:K,7,FALSE)</f>
        <v>JWDDCD2025060900080</v>
      </c>
      <c r="E3032" s="40" t="str">
        <f>VLOOKUP(F3032,辅助信息!A:B,2,FALSE)</f>
        <v>螺纹钢</v>
      </c>
      <c r="F3032" s="40" t="s">
        <v>19</v>
      </c>
      <c r="G3032" s="36">
        <v>10</v>
      </c>
      <c r="H3032" s="120">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09" t="str">
        <f>VLOOKUP(B3032,辅助信息!E:J,6,FALSE)</f>
        <v>现场禁止使用氢能源挂车！优先威钢发货,我方卸车,新老国标钢厂不加价可直发，因陕钢多次出现磅差，项目拒绝使用</v>
      </c>
      <c r="M3032" s="91">
        <v>45897</v>
      </c>
      <c r="O3032" s="62">
        <f ca="1" t="shared" si="175"/>
        <v>0</v>
      </c>
      <c r="P3032" s="62">
        <f ca="1" t="shared" si="176"/>
        <v>63</v>
      </c>
      <c r="Q3032" s="29" t="str">
        <f>VLOOKUP(B3032,辅助信息!E:M,9,FALSE)</f>
        <v>ZTWM-CDGS-XS-2024-0030-华西集采-简州大道</v>
      </c>
      <c r="R3032" s="29" t="str">
        <f>_xlfn._xlws.FILTER(辅助信息!D:D,辅助信息!E:E=B3032)</f>
        <v>华西简阳西城嘉苑</v>
      </c>
    </row>
    <row r="3033" hidden="1" spans="2:18">
      <c r="B3033" s="40" t="s">
        <v>81</v>
      </c>
      <c r="C3033" s="70">
        <v>45897</v>
      </c>
      <c r="D3033" s="40" t="str">
        <f>VLOOKUP(B3033,辅助信息!E:K,7,FALSE)</f>
        <v>JWDDCD2025060900080</v>
      </c>
      <c r="E3033" s="40" t="str">
        <f>VLOOKUP(F3033,辅助信息!A:B,2,FALSE)</f>
        <v>螺纹钢</v>
      </c>
      <c r="F3033" s="40" t="s">
        <v>32</v>
      </c>
      <c r="G3033" s="36">
        <v>14</v>
      </c>
      <c r="H3033" s="120">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09" t="str">
        <f>VLOOKUP(B3033,辅助信息!E:J,6,FALSE)</f>
        <v>现场禁止使用氢能源挂车！优先威钢发货,我方卸车,新老国标钢厂不加价可直发，因陕钢多次出现磅差，项目拒绝使用</v>
      </c>
      <c r="M3033" s="91">
        <v>45897</v>
      </c>
      <c r="O3033" s="62">
        <f ca="1" t="shared" si="175"/>
        <v>0</v>
      </c>
      <c r="P3033" s="62">
        <f ca="1" t="shared" si="176"/>
        <v>63</v>
      </c>
      <c r="Q3033" s="29" t="str">
        <f>VLOOKUP(B3033,辅助信息!E:M,9,FALSE)</f>
        <v>ZTWM-CDGS-XS-2024-0030-华西集采-简州大道</v>
      </c>
      <c r="R3033" s="29" t="str">
        <f>_xlfn._xlws.FILTER(辅助信息!D:D,辅助信息!E:E=B3033)</f>
        <v>华西简阳西城嘉苑</v>
      </c>
    </row>
    <row r="3034" hidden="1" spans="2:18">
      <c r="B3034" s="40" t="s">
        <v>81</v>
      </c>
      <c r="C3034" s="70">
        <v>45897</v>
      </c>
      <c r="D3034" s="40" t="str">
        <f>VLOOKUP(B3034,辅助信息!E:K,7,FALSE)</f>
        <v>JWDDCD2025060900080</v>
      </c>
      <c r="E3034" s="40" t="str">
        <f>VLOOKUP(F3034,辅助信息!A:B,2,FALSE)</f>
        <v>螺纹钢</v>
      </c>
      <c r="F3034" s="40" t="s">
        <v>30</v>
      </c>
      <c r="G3034" s="36">
        <v>6</v>
      </c>
      <c r="H3034" s="120">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09" t="str">
        <f>VLOOKUP(B3034,辅助信息!E:J,6,FALSE)</f>
        <v>现场禁止使用氢能源挂车！优先威钢发货,我方卸车,新老国标钢厂不加价可直发，因陕钢多次出现磅差，项目拒绝使用</v>
      </c>
      <c r="M3034" s="91">
        <v>45897</v>
      </c>
      <c r="O3034" s="62">
        <f ca="1" t="shared" si="175"/>
        <v>0</v>
      </c>
      <c r="P3034" s="62">
        <f ca="1" t="shared" si="176"/>
        <v>63</v>
      </c>
      <c r="Q3034" s="29" t="str">
        <f>VLOOKUP(B3034,辅助信息!E:M,9,FALSE)</f>
        <v>ZTWM-CDGS-XS-2024-0030-华西集采-简州大道</v>
      </c>
      <c r="R3034" s="29" t="str">
        <f>_xlfn._xlws.FILTER(辅助信息!D:D,辅助信息!E:E=B3034)</f>
        <v>华西简阳西城嘉苑</v>
      </c>
    </row>
    <row r="3035" hidden="1" spans="2:18">
      <c r="B3035" s="40" t="s">
        <v>81</v>
      </c>
      <c r="C3035" s="70">
        <v>45897</v>
      </c>
      <c r="D3035" s="40" t="str">
        <f>VLOOKUP(B3035,辅助信息!E:K,7,FALSE)</f>
        <v>JWDDCD2025060900080</v>
      </c>
      <c r="E3035" s="40" t="str">
        <f>VLOOKUP(F3035,辅助信息!A:B,2,FALSE)</f>
        <v>螺纹钢</v>
      </c>
      <c r="F3035" s="40" t="s">
        <v>33</v>
      </c>
      <c r="G3035" s="36">
        <v>41</v>
      </c>
      <c r="H3035" s="120">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09" t="str">
        <f>VLOOKUP(B3035,辅助信息!E:J,6,FALSE)</f>
        <v>现场禁止使用氢能源挂车！优先威钢发货,我方卸车,新老国标钢厂不加价可直发，因陕钢多次出现磅差，项目拒绝使用</v>
      </c>
      <c r="M3035" s="91">
        <v>45897</v>
      </c>
      <c r="O3035" s="62">
        <f ca="1" t="shared" si="175"/>
        <v>0</v>
      </c>
      <c r="P3035" s="62">
        <f ca="1" t="shared" si="176"/>
        <v>63</v>
      </c>
      <c r="Q3035" s="29" t="str">
        <f>VLOOKUP(B3035,辅助信息!E:M,9,FALSE)</f>
        <v>ZTWM-CDGS-XS-2024-0030-华西集采-简州大道</v>
      </c>
      <c r="R3035" s="29" t="str">
        <f>_xlfn._xlws.FILTER(辅助信息!D:D,辅助信息!E:E=B3035)</f>
        <v>华西简阳西城嘉苑</v>
      </c>
    </row>
    <row r="3036" hidden="1" spans="2:18">
      <c r="B3036" s="40" t="s">
        <v>81</v>
      </c>
      <c r="C3036" s="70">
        <v>45897</v>
      </c>
      <c r="D3036" s="40" t="str">
        <f>VLOOKUP(B3036,辅助信息!E:K,7,FALSE)</f>
        <v>JWDDCD2025060900080</v>
      </c>
      <c r="E3036" s="40" t="str">
        <f>VLOOKUP(F3036,辅助信息!A:B,2,FALSE)</f>
        <v>螺纹钢</v>
      </c>
      <c r="F3036" s="40" t="s">
        <v>28</v>
      </c>
      <c r="G3036" s="36">
        <v>3</v>
      </c>
      <c r="H3036" s="120">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09" t="str">
        <f>VLOOKUP(B3036,辅助信息!E:J,6,FALSE)</f>
        <v>现场禁止使用氢能源挂车！优先威钢发货,我方卸车,新老国标钢厂不加价可直发，因陕钢多次出现磅差，项目拒绝使用</v>
      </c>
      <c r="M3036" s="91">
        <v>45897</v>
      </c>
      <c r="O3036" s="62">
        <f ca="1" t="shared" si="175"/>
        <v>0</v>
      </c>
      <c r="P3036" s="62">
        <f ca="1" t="shared" si="176"/>
        <v>63</v>
      </c>
      <c r="Q3036" s="29" t="str">
        <f>VLOOKUP(B3036,辅助信息!E:M,9,FALSE)</f>
        <v>ZTWM-CDGS-XS-2024-0030-华西集采-简州大道</v>
      </c>
      <c r="R3036" s="29" t="str">
        <f>_xlfn._xlws.FILTER(辅助信息!D:D,辅助信息!E:E=B3036)</f>
        <v>华西简阳西城嘉苑</v>
      </c>
    </row>
    <row r="3037" hidden="1" spans="2:18">
      <c r="B3037" s="40" t="s">
        <v>81</v>
      </c>
      <c r="C3037" s="70">
        <v>45897</v>
      </c>
      <c r="D3037" s="40" t="str">
        <f>VLOOKUP(B3037,辅助信息!E:K,7,FALSE)</f>
        <v>JWDDCD2025060900080</v>
      </c>
      <c r="E3037" s="40" t="str">
        <f>VLOOKUP(F3037,辅助信息!A:B,2,FALSE)</f>
        <v>螺纹钢</v>
      </c>
      <c r="F3037" s="40" t="s">
        <v>18</v>
      </c>
      <c r="G3037" s="36">
        <v>71</v>
      </c>
      <c r="H3037" s="120">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09" t="str">
        <f>VLOOKUP(B3037,辅助信息!E:J,6,FALSE)</f>
        <v>现场禁止使用氢能源挂车！优先威钢发货,我方卸车,新老国标钢厂不加价可直发，因陕钢多次出现磅差，项目拒绝使用</v>
      </c>
      <c r="M3037" s="91">
        <v>45897</v>
      </c>
      <c r="O3037" s="62">
        <f ca="1" t="shared" si="175"/>
        <v>0</v>
      </c>
      <c r="P3037" s="62">
        <f ca="1" t="shared" si="176"/>
        <v>63</v>
      </c>
      <c r="Q3037" s="29" t="str">
        <f>VLOOKUP(B3037,辅助信息!E:M,9,FALSE)</f>
        <v>ZTWM-CDGS-XS-2024-0030-华西集采-简州大道</v>
      </c>
      <c r="R3037" s="29" t="str">
        <f>_xlfn._xlws.FILTER(辅助信息!D:D,辅助信息!E:E=B3037)</f>
        <v>华西简阳西城嘉苑</v>
      </c>
    </row>
    <row r="3038" hidden="1" spans="2:18">
      <c r="B3038" s="40" t="s">
        <v>81</v>
      </c>
      <c r="C3038" s="70">
        <v>45897</v>
      </c>
      <c r="D3038" s="40" t="str">
        <f>VLOOKUP(B3038,辅助信息!E:K,7,FALSE)</f>
        <v>JWDDCD2025060900080</v>
      </c>
      <c r="E3038" s="40" t="str">
        <f>VLOOKUP(F3038,辅助信息!A:B,2,FALSE)</f>
        <v>螺纹钢</v>
      </c>
      <c r="F3038" s="40" t="s">
        <v>22</v>
      </c>
      <c r="G3038" s="36">
        <v>20</v>
      </c>
      <c r="H3038" s="120">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09" t="str">
        <f>VLOOKUP(B3038,辅助信息!E:J,6,FALSE)</f>
        <v>现场禁止使用氢能源挂车！优先威钢发货,我方卸车,新老国标钢厂不加价可直发，因陕钢多次出现磅差，项目拒绝使用</v>
      </c>
      <c r="M3038" s="91">
        <v>45897</v>
      </c>
      <c r="O3038" s="62">
        <f ca="1" t="shared" si="175"/>
        <v>0</v>
      </c>
      <c r="P3038" s="62">
        <f ca="1" t="shared" si="176"/>
        <v>63</v>
      </c>
      <c r="Q3038" s="29" t="str">
        <f>VLOOKUP(B3038,辅助信息!E:M,9,FALSE)</f>
        <v>ZTWM-CDGS-XS-2024-0030-华西集采-简州大道</v>
      </c>
      <c r="R3038" s="29" t="str">
        <f>_xlfn._xlws.FILTER(辅助信息!D:D,辅助信息!E:E=B3038)</f>
        <v>华西简阳西城嘉苑</v>
      </c>
    </row>
    <row r="3039" hidden="1" spans="2:18">
      <c r="B3039" s="40" t="s">
        <v>167</v>
      </c>
      <c r="C3039" s="70">
        <v>45896</v>
      </c>
      <c r="D3039" s="40" t="str">
        <f>VLOOKUP(B3039,辅助信息!E:K,7,FALSE)</f>
        <v>JWDDCD2025102100473</v>
      </c>
      <c r="E3039" s="40" t="str">
        <f>VLOOKUP(F3039,辅助信息!A:B,2,FALSE)</f>
        <v>盘螺</v>
      </c>
      <c r="F3039" s="40" t="s">
        <v>40</v>
      </c>
      <c r="G3039" s="36">
        <v>12</v>
      </c>
      <c r="H3039" s="120">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09"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2" t="str">
        <f ca="1" t="shared" si="175"/>
        <v/>
      </c>
      <c r="P3039" s="62"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0">
        <v>45896</v>
      </c>
      <c r="D3040" s="40" t="str">
        <f>VLOOKUP(B3040,辅助信息!E:K,7,FALSE)</f>
        <v>JWDDCD2025102100473</v>
      </c>
      <c r="E3040" s="40" t="str">
        <f>VLOOKUP(F3040,辅助信息!A:B,2,FALSE)</f>
        <v>盘螺</v>
      </c>
      <c r="F3040" s="40" t="s">
        <v>41</v>
      </c>
      <c r="G3040" s="36">
        <v>10</v>
      </c>
      <c r="H3040" s="120">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09"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2" t="str">
        <f ca="1" t="shared" si="175"/>
        <v/>
      </c>
      <c r="P3040" s="62"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0">
        <v>45896</v>
      </c>
      <c r="D3041" s="40" t="str">
        <f>VLOOKUP(B3041,辅助信息!E:K,7,FALSE)</f>
        <v>JWDDCD2025102100473</v>
      </c>
      <c r="E3041" s="40" t="str">
        <f>VLOOKUP(F3041,辅助信息!A:B,2,FALSE)</f>
        <v>螺纹钢</v>
      </c>
      <c r="F3041" s="40" t="s">
        <v>22</v>
      </c>
      <c r="G3041" s="36">
        <v>70</v>
      </c>
      <c r="H3041" s="120">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09"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2" t="str">
        <f ca="1" t="shared" si="175"/>
        <v/>
      </c>
      <c r="P3041" s="62"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0">
        <v>45896</v>
      </c>
      <c r="D3042" s="40" t="str">
        <f>VLOOKUP(B3042,辅助信息!E:K,7,FALSE)</f>
        <v>JWDDCD2025051800044</v>
      </c>
      <c r="E3042" s="40" t="str">
        <f>VLOOKUP(F3042,辅助信息!A:B,2,FALSE)</f>
        <v>螺纹钢</v>
      </c>
      <c r="F3042" s="40" t="s">
        <v>28</v>
      </c>
      <c r="G3042" s="36">
        <v>70</v>
      </c>
      <c r="H3042" s="120"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09"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2" t="str">
        <f ca="1" t="shared" si="175"/>
        <v/>
      </c>
      <c r="P3042" s="62"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0">
        <v>45899</v>
      </c>
      <c r="D3043" s="40" t="str">
        <f>VLOOKUP(B3043,辅助信息!E:K,7,FALSE)</f>
        <v>JWDDCD2025052800131</v>
      </c>
      <c r="E3043" s="40" t="str">
        <f>VLOOKUP(F3043,辅助信息!A:B,2,FALSE)</f>
        <v>螺纹钢</v>
      </c>
      <c r="F3043" s="40" t="s">
        <v>32</v>
      </c>
      <c r="G3043" s="36">
        <v>3</v>
      </c>
      <c r="H3043" s="120"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09" t="str">
        <f>VLOOKUP(B3043,辅助信息!E:J,6,FALSE)</f>
        <v>控制炉批号！多了现场不收！,优先安排达钢,提前联系到场规格及数量</v>
      </c>
      <c r="M3043" s="91">
        <v>45897</v>
      </c>
      <c r="O3043" s="62">
        <f ca="1" t="shared" si="175"/>
        <v>0</v>
      </c>
      <c r="P3043" s="62">
        <f ca="1" t="shared" si="176"/>
        <v>63</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0">
        <v>45899</v>
      </c>
      <c r="D3044" s="40" t="str">
        <f>VLOOKUP(B3044,辅助信息!E:K,7,FALSE)</f>
        <v>JWDDCD2025052800131</v>
      </c>
      <c r="E3044" s="40" t="str">
        <f>VLOOKUP(F3044,辅助信息!A:B,2,FALSE)</f>
        <v>螺纹钢</v>
      </c>
      <c r="F3044" s="40" t="s">
        <v>30</v>
      </c>
      <c r="G3044" s="36">
        <v>6</v>
      </c>
      <c r="H3044" s="120"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09" t="str">
        <f>VLOOKUP(B3044,辅助信息!E:J,6,FALSE)</f>
        <v>控制炉批号！多了现场不收！,优先安排达钢,提前联系到场规格及数量</v>
      </c>
      <c r="M3044" s="91">
        <v>45897</v>
      </c>
      <c r="O3044" s="62">
        <f ca="1" t="shared" si="175"/>
        <v>0</v>
      </c>
      <c r="P3044" s="62">
        <f ca="1" t="shared" si="176"/>
        <v>63</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0">
        <v>45899</v>
      </c>
      <c r="D3045" s="40" t="str">
        <f>VLOOKUP(B3045,辅助信息!E:K,7,FALSE)</f>
        <v>JWDDCD2025052800131</v>
      </c>
      <c r="E3045" s="40" t="str">
        <f>VLOOKUP(F3045,辅助信息!A:B,2,FALSE)</f>
        <v>盘螺</v>
      </c>
      <c r="F3045" s="40" t="s">
        <v>40</v>
      </c>
      <c r="G3045" s="36">
        <v>13</v>
      </c>
      <c r="H3045" s="120">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09" t="str">
        <f>VLOOKUP(B3045,辅助信息!E:J,6,FALSE)</f>
        <v>控制炉批号！多了现场不收！,优先安排达钢,提前联系到场规格及数量</v>
      </c>
      <c r="M3045" s="91">
        <v>45897</v>
      </c>
      <c r="O3045" s="62">
        <f ca="1" t="shared" si="175"/>
        <v>0</v>
      </c>
      <c r="P3045" s="62">
        <f ca="1" t="shared" si="176"/>
        <v>63</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0">
        <v>45899</v>
      </c>
      <c r="D3046" s="40" t="str">
        <f>VLOOKUP(B3046,辅助信息!E:K,7,FALSE)</f>
        <v>JWDDCD2025052800131</v>
      </c>
      <c r="E3046" s="40" t="str">
        <f>VLOOKUP(F3046,辅助信息!A:B,2,FALSE)</f>
        <v>螺纹钢</v>
      </c>
      <c r="F3046" s="40" t="s">
        <v>30</v>
      </c>
      <c r="G3046" s="36">
        <v>6</v>
      </c>
      <c r="H3046" s="120"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09" t="str">
        <f>VLOOKUP(B3046,辅助信息!E:J,6,FALSE)</f>
        <v>控制炉批号！多了现场不收！,优先安排达钢,提前联系到场规格及数量</v>
      </c>
      <c r="M3046" s="91">
        <v>45897</v>
      </c>
      <c r="O3046" s="62">
        <f ca="1" t="shared" si="175"/>
        <v>0</v>
      </c>
      <c r="P3046" s="62">
        <f ca="1" t="shared" si="176"/>
        <v>63</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0">
        <v>45899</v>
      </c>
      <c r="D3047" s="40" t="str">
        <f>VLOOKUP(B3047,辅助信息!E:K,7,FALSE)</f>
        <v>JWDDCD2025052800131</v>
      </c>
      <c r="E3047" s="40" t="str">
        <f>VLOOKUP(F3047,辅助信息!A:B,2,FALSE)</f>
        <v>螺纹钢</v>
      </c>
      <c r="F3047" s="40" t="s">
        <v>21</v>
      </c>
      <c r="G3047" s="36">
        <v>6</v>
      </c>
      <c r="H3047" s="120"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09" t="str">
        <f>VLOOKUP(B3047,辅助信息!E:J,6,FALSE)</f>
        <v>控制炉批号！多了现场不收！,优先安排达钢,提前联系到场规格及数量</v>
      </c>
      <c r="M3047" s="91">
        <v>45897</v>
      </c>
      <c r="O3047" s="62">
        <f ca="1" t="shared" si="175"/>
        <v>0</v>
      </c>
      <c r="P3047" s="62">
        <f ca="1" t="shared" si="176"/>
        <v>63</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0">
        <v>45899</v>
      </c>
      <c r="D3048" s="40" t="str">
        <f>VLOOKUP(B3048,辅助信息!E:K,7,FALSE)</f>
        <v>JWDDCD2025052800131</v>
      </c>
      <c r="E3048" s="40" t="str">
        <f>VLOOKUP(F3048,辅助信息!A:B,2,FALSE)</f>
        <v>螺纹钢</v>
      </c>
      <c r="F3048" s="40" t="s">
        <v>58</v>
      </c>
      <c r="G3048" s="36">
        <v>12</v>
      </c>
      <c r="H3048" s="120"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09" t="str">
        <f>VLOOKUP(B3048,辅助信息!E:J,6,FALSE)</f>
        <v>控制炉批号！多了现场不收！,优先安排达钢,提前联系到场规格及数量</v>
      </c>
      <c r="M3048" s="91">
        <v>45897</v>
      </c>
      <c r="O3048" s="62">
        <f ca="1" t="shared" si="175"/>
        <v>0</v>
      </c>
      <c r="P3048" s="62">
        <f ca="1" t="shared" si="176"/>
        <v>63</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0">
        <v>45899</v>
      </c>
      <c r="D3049" s="40" t="str">
        <f>VLOOKUP(B3049,辅助信息!E:K,7,FALSE)</f>
        <v>JWDDCD2025072900123</v>
      </c>
      <c r="E3049" s="40" t="str">
        <f>VLOOKUP(F3049,辅助信息!A:B,2,FALSE)</f>
        <v>螺纹钢</v>
      </c>
      <c r="F3049" s="40" t="s">
        <v>18</v>
      </c>
      <c r="G3049" s="36">
        <v>18</v>
      </c>
      <c r="H3049" s="120"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09" t="str">
        <f>VLOOKUP(B3049,辅助信息!E:J,6,FALSE)</f>
        <v>联系实际收货人（彭江涛13990276572）现场要求炉批号控制2个以下，超2个不给予签收。提前联系到场规格及数量</v>
      </c>
      <c r="O3049" s="62" t="str">
        <f ca="1" t="shared" si="175"/>
        <v/>
      </c>
      <c r="P3049" s="62"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0">
        <v>45899</v>
      </c>
      <c r="D3050" s="40" t="str">
        <f>VLOOKUP(B3050,辅助信息!E:K,7,FALSE)</f>
        <v>JWDDCD2025072900123</v>
      </c>
      <c r="E3050" s="40" t="str">
        <f>VLOOKUP(F3050,辅助信息!A:B,2,FALSE)</f>
        <v>螺纹钢</v>
      </c>
      <c r="F3050" s="40" t="s">
        <v>18</v>
      </c>
      <c r="G3050" s="36">
        <v>5</v>
      </c>
      <c r="H3050" s="120"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09" t="str">
        <f>VLOOKUP(B3050,辅助信息!E:J,6,FALSE)</f>
        <v>联系实际收货人（彭江涛13990276572）现场要求炉批号控制2个以下，超2个不给予签收。提前联系到场规格及数量</v>
      </c>
      <c r="O3050" s="62" t="str">
        <f ca="1" t="shared" si="175"/>
        <v/>
      </c>
      <c r="P3050" s="62"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0">
        <v>45899</v>
      </c>
      <c r="D3051" s="40" t="str">
        <f>VLOOKUP(B3051,辅助信息!E:K,7,FALSE)</f>
        <v>JWDDCD2025072900123</v>
      </c>
      <c r="E3051" s="40" t="str">
        <f>VLOOKUP(F3051,辅助信息!A:B,2,FALSE)</f>
        <v>螺纹钢</v>
      </c>
      <c r="F3051" s="40" t="s">
        <v>91</v>
      </c>
      <c r="G3051" s="36">
        <v>5</v>
      </c>
      <c r="H3051" s="120"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09" t="str">
        <f>VLOOKUP(B3051,辅助信息!E:J,6,FALSE)</f>
        <v>联系实际收货人（彭江涛13990276572）现场要求炉批号控制2个以下，超2个不给予签收。提前联系到场规格及数量</v>
      </c>
      <c r="O3051" s="62" t="str">
        <f ca="1" t="shared" si="175"/>
        <v/>
      </c>
      <c r="P3051" s="62"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0">
        <v>45899</v>
      </c>
      <c r="D3052" s="40" t="str">
        <f>VLOOKUP(B3052,辅助信息!E:K,7,FALSE)</f>
        <v>JWDDCD2025052800131</v>
      </c>
      <c r="E3052" s="40" t="str">
        <f>VLOOKUP(F3052,辅助信息!A:B,2,FALSE)</f>
        <v>螺纹钢</v>
      </c>
      <c r="F3052" s="40" t="s">
        <v>21</v>
      </c>
      <c r="G3052" s="36">
        <v>12</v>
      </c>
      <c r="H3052" s="120"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09" t="str">
        <f>VLOOKUP(B3052,辅助信息!E:J,6,FALSE)</f>
        <v>控制炉批号！多了现场不收！,优先安排达钢,提前联系到场规格及数量</v>
      </c>
      <c r="M3052" s="91">
        <v>45897</v>
      </c>
      <c r="O3052" s="62">
        <f ca="1" t="shared" si="175"/>
        <v>0</v>
      </c>
      <c r="P3052" s="62">
        <f ca="1" t="shared" si="176"/>
        <v>63</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0">
        <v>45899</v>
      </c>
      <c r="D3053" s="40" t="str">
        <f>VLOOKUP(B3053,辅助信息!E:K,7,FALSE)</f>
        <v>JWDDCD2025052800131</v>
      </c>
      <c r="E3053" s="40" t="str">
        <f>VLOOKUP(F3053,辅助信息!A:B,2,FALSE)</f>
        <v>螺纹钢</v>
      </c>
      <c r="F3053" s="40" t="s">
        <v>58</v>
      </c>
      <c r="G3053" s="36">
        <v>12</v>
      </c>
      <c r="H3053" s="120"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09" t="str">
        <f>VLOOKUP(B3053,辅助信息!E:J,6,FALSE)</f>
        <v>控制炉批号！多了现场不收！,优先安排达钢,提前联系到场规格及数量</v>
      </c>
      <c r="M3053" s="91">
        <v>45897</v>
      </c>
      <c r="O3053" s="62">
        <f ca="1" t="shared" si="175"/>
        <v>0</v>
      </c>
      <c r="P3053" s="62">
        <f ca="1" t="shared" si="176"/>
        <v>63</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0">
        <v>45899</v>
      </c>
      <c r="D3054" s="40" t="str">
        <f>VLOOKUP(B3054,辅助信息!E:K,7,FALSE)</f>
        <v>JWDDCD2025052800131</v>
      </c>
      <c r="E3054" s="40" t="str">
        <f>VLOOKUP(F3054,辅助信息!A:B,2,FALSE)</f>
        <v>螺纹钢</v>
      </c>
      <c r="F3054" s="40" t="s">
        <v>21</v>
      </c>
      <c r="G3054" s="36">
        <v>6</v>
      </c>
      <c r="H3054" s="120"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09" t="str">
        <f>VLOOKUP(B3054,辅助信息!E:J,6,FALSE)</f>
        <v>控制炉批号！多了现场不收！,优先安排达钢,提前联系到场规格及数量</v>
      </c>
      <c r="M3054" s="91">
        <v>45900</v>
      </c>
      <c r="O3054" s="62">
        <f ca="1" t="shared" si="175"/>
        <v>0</v>
      </c>
      <c r="P3054" s="62">
        <f ca="1" t="shared" si="176"/>
        <v>60</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1" t="s">
        <v>210</v>
      </c>
      <c r="B3055" s="40" t="s">
        <v>169</v>
      </c>
      <c r="C3055" s="70">
        <v>45901</v>
      </c>
      <c r="D3055" s="40" t="str">
        <f>VLOOKUP(B3055,辅助信息!E:K,7,FALSE)</f>
        <v>JWDDCD2025051800044</v>
      </c>
      <c r="E3055" s="40" t="str">
        <f>VLOOKUP(F3055,辅助信息!A:B,2,FALSE)</f>
        <v>高线</v>
      </c>
      <c r="F3055" s="40" t="s">
        <v>51</v>
      </c>
      <c r="G3055" s="36">
        <v>35</v>
      </c>
      <c r="H3055" s="142"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09"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1">
        <v>45901</v>
      </c>
      <c r="O3055" s="62">
        <f ca="1" t="shared" si="175"/>
        <v>0</v>
      </c>
      <c r="P3055" s="62">
        <f ca="1" t="shared" si="176"/>
        <v>59</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1"/>
      <c r="B3056" s="40" t="s">
        <v>169</v>
      </c>
      <c r="C3056" s="70">
        <v>45901</v>
      </c>
      <c r="D3056" s="40" t="str">
        <f>VLOOKUP(B3056,辅助信息!E:K,7,FALSE)</f>
        <v>JWDDCD2025051800044</v>
      </c>
      <c r="E3056" s="40" t="str">
        <f>VLOOKUP(F3056,辅助信息!A:B,2,FALSE)</f>
        <v>螺纹钢</v>
      </c>
      <c r="F3056" s="40" t="s">
        <v>28</v>
      </c>
      <c r="G3056" s="36">
        <v>105</v>
      </c>
      <c r="H3056" s="142"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09"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1">
        <v>45902</v>
      </c>
      <c r="O3056" s="62">
        <f ca="1" t="shared" si="175"/>
        <v>0</v>
      </c>
      <c r="P3056" s="62">
        <f ca="1" t="shared" si="176"/>
        <v>58</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0">
        <v>45901</v>
      </c>
      <c r="D3057" s="40" t="str">
        <f>VLOOKUP(B3057,辅助信息!E:K,7,FALSE)</f>
        <v>JWDDCD2025102100473</v>
      </c>
      <c r="E3057" s="40" t="str">
        <f>VLOOKUP(F3057,辅助信息!A:B,2,FALSE)</f>
        <v>螺纹钢</v>
      </c>
      <c r="F3057" s="40" t="s">
        <v>22</v>
      </c>
      <c r="G3057" s="36">
        <v>35</v>
      </c>
      <c r="H3057" s="142">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09"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1">
        <v>45902</v>
      </c>
      <c r="O3057" s="62">
        <f ca="1" t="shared" si="175"/>
        <v>0</v>
      </c>
      <c r="P3057" s="62">
        <f ca="1" t="shared" si="176"/>
        <v>58</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0">
        <v>45901</v>
      </c>
      <c r="D3058" s="40" t="str">
        <f>VLOOKUP(B3058,辅助信息!E:K,7,FALSE)</f>
        <v>JWDDCD2025102100473</v>
      </c>
      <c r="E3058" s="40" t="str">
        <f>VLOOKUP(F3058,辅助信息!A:B,2,FALSE)</f>
        <v>螺纹钢</v>
      </c>
      <c r="F3058" s="40" t="s">
        <v>27</v>
      </c>
      <c r="G3058" s="36">
        <v>120</v>
      </c>
      <c r="H3058" s="142">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09"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1">
        <v>45902</v>
      </c>
      <c r="O3058" s="62">
        <f ca="1" t="shared" si="175"/>
        <v>0</v>
      </c>
      <c r="P3058" s="62">
        <f ca="1" t="shared" si="176"/>
        <v>58</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0">
        <v>45901</v>
      </c>
      <c r="D3059" s="40" t="str">
        <f>VLOOKUP(B3059,辅助信息!E:K,7,FALSE)</f>
        <v>JWDDCD2025102100480</v>
      </c>
      <c r="E3059" s="40" t="str">
        <f>VLOOKUP(F3059,辅助信息!A:B,2,FALSE)</f>
        <v>高线</v>
      </c>
      <c r="F3059" s="40" t="s">
        <v>51</v>
      </c>
      <c r="G3059" s="36">
        <v>12</v>
      </c>
      <c r="H3059" s="142">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09" t="str">
        <f>VLOOKUP(B3059,辅助信息!E:J,6,FALSE)</f>
        <v>联系实际收货人（陶杰13980247952）五冶建设送货单,6份材质书,锈货不收，装货前联系收货人核实到场规格,没提前告知进场规格现场不给予接收</v>
      </c>
      <c r="M3059" s="91">
        <v>45903</v>
      </c>
      <c r="O3059" s="62">
        <f ca="1" t="shared" si="175"/>
        <v>0</v>
      </c>
      <c r="P3059" s="62">
        <f ca="1" t="shared" si="176"/>
        <v>57</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0">
        <v>45901</v>
      </c>
      <c r="D3060" s="40" t="str">
        <f>VLOOKUP(B3060,辅助信息!E:K,7,FALSE)</f>
        <v>JWDDCD2025102100480</v>
      </c>
      <c r="E3060" s="40" t="str">
        <f>VLOOKUP(F3060,辅助信息!A:B,2,FALSE)</f>
        <v>高线</v>
      </c>
      <c r="F3060" s="40" t="s">
        <v>61</v>
      </c>
      <c r="G3060" s="36">
        <v>7.2</v>
      </c>
      <c r="H3060" s="142">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09" t="str">
        <f>VLOOKUP(B3060,辅助信息!E:J,6,FALSE)</f>
        <v>联系实际收货人（陶杰13980247952）五冶建设送货单,6份材质书,锈货不收，装货前联系收货人核实到场规格,没提前告知进场规格现场不给予接收</v>
      </c>
      <c r="M3060" s="91">
        <v>45903</v>
      </c>
      <c r="O3060" s="62">
        <f ca="1" t="shared" si="175"/>
        <v>0</v>
      </c>
      <c r="P3060" s="62">
        <f ca="1" t="shared" si="176"/>
        <v>57</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0">
        <v>45901</v>
      </c>
      <c r="D3061" s="40" t="str">
        <f>VLOOKUP(B3061,辅助信息!E:K,7,FALSE)</f>
        <v>JWDDCD2025102100480</v>
      </c>
      <c r="E3061" s="40" t="str">
        <f>VLOOKUP(F3061,辅助信息!A:B,2,FALSE)</f>
        <v>螺纹钢</v>
      </c>
      <c r="F3061" s="40" t="s">
        <v>30</v>
      </c>
      <c r="G3061" s="36">
        <v>2.7</v>
      </c>
      <c r="H3061" s="142"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09" t="str">
        <f>VLOOKUP(B3061,辅助信息!E:J,6,FALSE)</f>
        <v>联系实际收货人（陶杰13980247952）五冶建设送货单,6份材质书,锈货不收，装货前联系收货人核实到场规格,没提前告知进场规格现场不给予接收</v>
      </c>
      <c r="M3061" s="91">
        <v>45903</v>
      </c>
      <c r="O3061" s="62">
        <f ca="1" t="shared" si="175"/>
        <v>0</v>
      </c>
      <c r="P3061" s="62">
        <f ca="1" t="shared" si="176"/>
        <v>57</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0">
        <v>45901</v>
      </c>
      <c r="D3062" s="40" t="str">
        <f>VLOOKUP(B3062,辅助信息!E:K,7,FALSE)</f>
        <v>JWDDCD2025102100480</v>
      </c>
      <c r="E3062" s="40" t="str">
        <f>VLOOKUP(F3062,辅助信息!A:B,2,FALSE)</f>
        <v>螺纹钢</v>
      </c>
      <c r="F3062" s="40" t="s">
        <v>28</v>
      </c>
      <c r="G3062" s="36">
        <v>34</v>
      </c>
      <c r="H3062" s="142">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09" t="str">
        <f>VLOOKUP(B3062,辅助信息!E:J,6,FALSE)</f>
        <v>联系实际收货人（陶杰13980247952）五冶建设送货单,6份材质书,锈货不收，装货前联系收货人核实到场规格,没提前告知进场规格现场不给予接收</v>
      </c>
      <c r="M3062" s="91">
        <v>45903</v>
      </c>
      <c r="O3062" s="62">
        <f ca="1" t="shared" si="175"/>
        <v>0</v>
      </c>
      <c r="P3062" s="62">
        <f ca="1" t="shared" si="176"/>
        <v>57</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0">
        <v>45901</v>
      </c>
      <c r="D3063" s="40" t="str">
        <f>VLOOKUP(B3063,辅助信息!E:K,7,FALSE)</f>
        <v>JWDDCD2025102100480</v>
      </c>
      <c r="E3063" s="40" t="str">
        <f>VLOOKUP(F3063,辅助信息!A:B,2,FALSE)</f>
        <v>螺纹钢</v>
      </c>
      <c r="F3063" s="40" t="s">
        <v>18</v>
      </c>
      <c r="G3063" s="36">
        <v>14</v>
      </c>
      <c r="H3063" s="142">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09" t="str">
        <f>VLOOKUP(B3063,辅助信息!E:J,6,FALSE)</f>
        <v>联系实际收货人（陶杰13980247952）五冶建设送货单,6份材质书,锈货不收，装货前联系收货人核实到场规格,没提前告知进场规格现场不给予接收</v>
      </c>
      <c r="M3063" s="91">
        <v>45903</v>
      </c>
      <c r="O3063" s="62">
        <f ca="1" t="shared" si="175"/>
        <v>0</v>
      </c>
      <c r="P3063" s="62">
        <f ca="1" t="shared" si="176"/>
        <v>57</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0">
        <v>45901</v>
      </c>
      <c r="D3064" s="40" t="e">
        <f>VLOOKUP(B3064,辅助信息!E:K,7,FALSE)</f>
        <v>#N/A</v>
      </c>
      <c r="E3064" s="40" t="str">
        <f>VLOOKUP(F3064,辅助信息!A:B,2,FALSE)</f>
        <v>盘螺</v>
      </c>
      <c r="F3064" s="40" t="s">
        <v>49</v>
      </c>
      <c r="G3064" s="36">
        <v>2.5</v>
      </c>
      <c r="H3064" s="142"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09" t="e">
        <f>VLOOKUP(B3064,辅助信息!E:J,6,FALSE)</f>
        <v>#N/A</v>
      </c>
      <c r="M3064" s="91">
        <v>45903</v>
      </c>
      <c r="O3064" s="62">
        <f ca="1" t="shared" si="175"/>
        <v>0</v>
      </c>
      <c r="P3064" s="62">
        <f ca="1" t="shared" si="176"/>
        <v>57</v>
      </c>
      <c r="Q3064" s="29" t="e">
        <f>VLOOKUP(B3064,辅助信息!E:M,9,FALSE)</f>
        <v>#N/A</v>
      </c>
      <c r="R3064" s="29" vm="1" t="e">
        <f>_xlfn._xlws.FILTER(辅助信息!D:D,辅助信息!E:E=B3064)</f>
        <v>#VALUE!</v>
      </c>
    </row>
    <row r="3065" hidden="1" spans="2:18">
      <c r="B3065" s="40" t="s">
        <v>211</v>
      </c>
      <c r="C3065" s="70">
        <v>45901</v>
      </c>
      <c r="D3065" s="40" t="e">
        <f>VLOOKUP(B3065,辅助信息!E:K,7,FALSE)</f>
        <v>#N/A</v>
      </c>
      <c r="E3065" s="40" t="str">
        <f>VLOOKUP(F3065,辅助信息!A:B,2,FALSE)</f>
        <v>盘螺</v>
      </c>
      <c r="F3065" s="40" t="s">
        <v>40</v>
      </c>
      <c r="G3065" s="36">
        <v>2.5</v>
      </c>
      <c r="H3065" s="142"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09" t="e">
        <f>VLOOKUP(B3065,辅助信息!E:J,6,FALSE)</f>
        <v>#N/A</v>
      </c>
      <c r="M3065" s="91">
        <v>45903</v>
      </c>
      <c r="O3065" s="62">
        <f ca="1" t="shared" si="175"/>
        <v>0</v>
      </c>
      <c r="P3065" s="62">
        <f ca="1" t="shared" si="176"/>
        <v>57</v>
      </c>
      <c r="Q3065" s="29" t="e">
        <f>VLOOKUP(B3065,辅助信息!E:M,9,FALSE)</f>
        <v>#N/A</v>
      </c>
      <c r="R3065" s="29" vm="1" t="e">
        <f>_xlfn._xlws.FILTER(辅助信息!D:D,辅助信息!E:E=B3065)</f>
        <v>#VALUE!</v>
      </c>
    </row>
    <row r="3066" hidden="1" spans="2:18">
      <c r="B3066" s="40" t="s">
        <v>211</v>
      </c>
      <c r="C3066" s="70">
        <v>45901</v>
      </c>
      <c r="D3066" s="40" t="e">
        <f>VLOOKUP(B3066,辅助信息!E:K,7,FALSE)</f>
        <v>#N/A</v>
      </c>
      <c r="E3066" s="40" t="str">
        <f>VLOOKUP(F3066,辅助信息!A:B,2,FALSE)</f>
        <v>盘螺</v>
      </c>
      <c r="F3066" s="40" t="s">
        <v>41</v>
      </c>
      <c r="G3066" s="36">
        <v>2.5</v>
      </c>
      <c r="H3066" s="142"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09" t="e">
        <f>VLOOKUP(B3066,辅助信息!E:J,6,FALSE)</f>
        <v>#N/A</v>
      </c>
      <c r="M3066" s="91">
        <v>45903</v>
      </c>
      <c r="O3066" s="62">
        <f ca="1" t="shared" si="175"/>
        <v>0</v>
      </c>
      <c r="P3066" s="62">
        <f ca="1" t="shared" si="176"/>
        <v>57</v>
      </c>
      <c r="Q3066" s="29" t="e">
        <f>VLOOKUP(B3066,辅助信息!E:M,9,FALSE)</f>
        <v>#N/A</v>
      </c>
      <c r="R3066" s="29" vm="1" t="e">
        <f>_xlfn._xlws.FILTER(辅助信息!D:D,辅助信息!E:E=B3066)</f>
        <v>#VALUE!</v>
      </c>
    </row>
    <row r="3067" hidden="1" spans="2:18">
      <c r="B3067" s="40" t="s">
        <v>211</v>
      </c>
      <c r="C3067" s="70">
        <v>45901</v>
      </c>
      <c r="D3067" s="40" t="e">
        <f>VLOOKUP(B3067,辅助信息!E:K,7,FALSE)</f>
        <v>#N/A</v>
      </c>
      <c r="E3067" s="40" t="str">
        <f>VLOOKUP(F3067,辅助信息!A:B,2,FALSE)</f>
        <v>螺纹钢</v>
      </c>
      <c r="F3067" s="40" t="s">
        <v>27</v>
      </c>
      <c r="G3067" s="36">
        <v>6</v>
      </c>
      <c r="H3067" s="142"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09" t="e">
        <f>VLOOKUP(B3067,辅助信息!E:J,6,FALSE)</f>
        <v>#N/A</v>
      </c>
      <c r="M3067" s="91">
        <v>45903</v>
      </c>
      <c r="O3067" s="62">
        <f ca="1" t="shared" si="175"/>
        <v>0</v>
      </c>
      <c r="P3067" s="62">
        <f ca="1" t="shared" si="176"/>
        <v>57</v>
      </c>
      <c r="Q3067" s="29" t="e">
        <f>VLOOKUP(B3067,辅助信息!E:M,9,FALSE)</f>
        <v>#N/A</v>
      </c>
      <c r="R3067" s="29" vm="1" t="e">
        <f>_xlfn._xlws.FILTER(辅助信息!D:D,辅助信息!E:E=B3067)</f>
        <v>#VALUE!</v>
      </c>
    </row>
    <row r="3068" hidden="1" spans="2:18">
      <c r="B3068" s="40" t="s">
        <v>211</v>
      </c>
      <c r="C3068" s="70">
        <v>45901</v>
      </c>
      <c r="D3068" s="40" t="e">
        <f>VLOOKUP(B3068,辅助信息!E:K,7,FALSE)</f>
        <v>#N/A</v>
      </c>
      <c r="E3068" s="40" t="str">
        <f>VLOOKUP(F3068,辅助信息!A:B,2,FALSE)</f>
        <v>螺纹钢</v>
      </c>
      <c r="F3068" s="40" t="s">
        <v>19</v>
      </c>
      <c r="G3068" s="36">
        <v>3</v>
      </c>
      <c r="H3068" s="142"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09" t="e">
        <f>VLOOKUP(B3068,辅助信息!E:J,6,FALSE)</f>
        <v>#N/A</v>
      </c>
      <c r="M3068" s="91">
        <v>45903</v>
      </c>
      <c r="O3068" s="62">
        <f ca="1" t="shared" si="175"/>
        <v>0</v>
      </c>
      <c r="P3068" s="62">
        <f ca="1" t="shared" si="176"/>
        <v>57</v>
      </c>
      <c r="Q3068" s="29" t="e">
        <f>VLOOKUP(B3068,辅助信息!E:M,9,FALSE)</f>
        <v>#N/A</v>
      </c>
      <c r="R3068" s="29" vm="1" t="e">
        <f>_xlfn._xlws.FILTER(辅助信息!D:D,辅助信息!E:E=B3068)</f>
        <v>#VALUE!</v>
      </c>
    </row>
    <row r="3069" hidden="1" spans="2:18">
      <c r="B3069" s="40" t="s">
        <v>211</v>
      </c>
      <c r="C3069" s="70">
        <v>45901</v>
      </c>
      <c r="D3069" s="40" t="e">
        <f>VLOOKUP(B3069,辅助信息!E:K,7,FALSE)</f>
        <v>#N/A</v>
      </c>
      <c r="E3069" s="40" t="str">
        <f>VLOOKUP(F3069,辅助信息!A:B,2,FALSE)</f>
        <v>螺纹钢</v>
      </c>
      <c r="F3069" s="40" t="s">
        <v>32</v>
      </c>
      <c r="G3069" s="36">
        <v>3</v>
      </c>
      <c r="H3069" s="142"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09" t="e">
        <f>VLOOKUP(B3069,辅助信息!E:J,6,FALSE)</f>
        <v>#N/A</v>
      </c>
      <c r="M3069" s="91">
        <v>45903</v>
      </c>
      <c r="O3069" s="62">
        <f ca="1" t="shared" si="175"/>
        <v>0</v>
      </c>
      <c r="P3069" s="62">
        <f ca="1" t="shared" si="176"/>
        <v>57</v>
      </c>
      <c r="Q3069" s="29" t="e">
        <f>VLOOKUP(B3069,辅助信息!E:M,9,FALSE)</f>
        <v>#N/A</v>
      </c>
      <c r="R3069" s="29" vm="1" t="e">
        <f>_xlfn._xlws.FILTER(辅助信息!D:D,辅助信息!E:E=B3069)</f>
        <v>#VALUE!</v>
      </c>
    </row>
    <row r="3070" hidden="1" spans="2:18">
      <c r="B3070" s="40" t="s">
        <v>211</v>
      </c>
      <c r="C3070" s="70">
        <v>45901</v>
      </c>
      <c r="D3070" s="40" t="e">
        <f>VLOOKUP(B3070,辅助信息!E:K,7,FALSE)</f>
        <v>#N/A</v>
      </c>
      <c r="E3070" s="40" t="str">
        <f>VLOOKUP(F3070,辅助信息!A:B,2,FALSE)</f>
        <v>螺纹钢</v>
      </c>
      <c r="F3070" s="40" t="s">
        <v>30</v>
      </c>
      <c r="G3070" s="36">
        <v>3</v>
      </c>
      <c r="H3070" s="142"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09" t="e">
        <f>VLOOKUP(B3070,辅助信息!E:J,6,FALSE)</f>
        <v>#N/A</v>
      </c>
      <c r="M3070" s="91">
        <v>45903</v>
      </c>
      <c r="O3070" s="62">
        <f ca="1" t="shared" si="175"/>
        <v>0</v>
      </c>
      <c r="P3070" s="62">
        <f ca="1" t="shared" si="176"/>
        <v>57</v>
      </c>
      <c r="Q3070" s="29" t="e">
        <f>VLOOKUP(B3070,辅助信息!E:M,9,FALSE)</f>
        <v>#N/A</v>
      </c>
      <c r="R3070" s="29" vm="1" t="e">
        <f>_xlfn._xlws.FILTER(辅助信息!D:D,辅助信息!E:E=B3070)</f>
        <v>#VALUE!</v>
      </c>
    </row>
    <row r="3071" hidden="1" spans="2:18">
      <c r="B3071" s="40" t="s">
        <v>211</v>
      </c>
      <c r="C3071" s="70">
        <v>45901</v>
      </c>
      <c r="D3071" s="40" t="e">
        <f>VLOOKUP(B3071,辅助信息!E:K,7,FALSE)</f>
        <v>#N/A</v>
      </c>
      <c r="E3071" s="40" t="str">
        <f>VLOOKUP(F3071,辅助信息!A:B,2,FALSE)</f>
        <v>螺纹钢</v>
      </c>
      <c r="F3071" s="40" t="s">
        <v>33</v>
      </c>
      <c r="G3071" s="36">
        <v>3</v>
      </c>
      <c r="H3071" s="142"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09" t="e">
        <f>VLOOKUP(B3071,辅助信息!E:J,6,FALSE)</f>
        <v>#N/A</v>
      </c>
      <c r="M3071" s="91">
        <v>45903</v>
      </c>
      <c r="O3071" s="62">
        <f ca="1" t="shared" si="175"/>
        <v>0</v>
      </c>
      <c r="P3071" s="62">
        <f ca="1" t="shared" si="176"/>
        <v>57</v>
      </c>
      <c r="Q3071" s="29" t="e">
        <f>VLOOKUP(B3071,辅助信息!E:M,9,FALSE)</f>
        <v>#N/A</v>
      </c>
      <c r="R3071" s="29" vm="1" t="e">
        <f>_xlfn._xlws.FILTER(辅助信息!D:D,辅助信息!E:E=B3071)</f>
        <v>#VALUE!</v>
      </c>
    </row>
    <row r="3072" hidden="1" spans="2:18">
      <c r="B3072" s="40" t="s">
        <v>211</v>
      </c>
      <c r="C3072" s="70">
        <v>45901</v>
      </c>
      <c r="D3072" s="40" t="e">
        <f>VLOOKUP(B3072,辅助信息!E:K,7,FALSE)</f>
        <v>#N/A</v>
      </c>
      <c r="E3072" s="40" t="str">
        <f>VLOOKUP(F3072,辅助信息!A:B,2,FALSE)</f>
        <v>螺纹钢</v>
      </c>
      <c r="F3072" s="40" t="s">
        <v>28</v>
      </c>
      <c r="G3072" s="36">
        <v>6</v>
      </c>
      <c r="H3072" s="142"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09" t="e">
        <f>VLOOKUP(B3072,辅助信息!E:J,6,FALSE)</f>
        <v>#N/A</v>
      </c>
      <c r="M3072" s="91">
        <v>45903</v>
      </c>
      <c r="O3072" s="62">
        <f ca="1" t="shared" si="175"/>
        <v>0</v>
      </c>
      <c r="P3072" s="62">
        <f ca="1" t="shared" si="176"/>
        <v>57</v>
      </c>
      <c r="Q3072" s="29" t="e">
        <f>VLOOKUP(B3072,辅助信息!E:M,9,FALSE)</f>
        <v>#N/A</v>
      </c>
      <c r="R3072" s="29" vm="1" t="e">
        <f>_xlfn._xlws.FILTER(辅助信息!D:D,辅助信息!E:E=B3072)</f>
        <v>#VALUE!</v>
      </c>
    </row>
    <row r="3073" hidden="1" spans="2:18">
      <c r="B3073" s="40" t="s">
        <v>211</v>
      </c>
      <c r="C3073" s="70">
        <v>45901</v>
      </c>
      <c r="D3073" s="40" t="e">
        <f>VLOOKUP(B3073,辅助信息!E:K,7,FALSE)</f>
        <v>#N/A</v>
      </c>
      <c r="E3073" s="40" t="str">
        <f>VLOOKUP(F3073,辅助信息!A:B,2,FALSE)</f>
        <v>螺纹钢</v>
      </c>
      <c r="F3073" s="40" t="s">
        <v>18</v>
      </c>
      <c r="G3073" s="36">
        <v>3</v>
      </c>
      <c r="H3073" s="142"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09" t="e">
        <f>VLOOKUP(B3073,辅助信息!E:J,6,FALSE)</f>
        <v>#N/A</v>
      </c>
      <c r="M3073" s="91">
        <v>45903</v>
      </c>
      <c r="O3073" s="62">
        <f ca="1" t="shared" si="175"/>
        <v>0</v>
      </c>
      <c r="P3073" s="62">
        <f ca="1" t="shared" si="176"/>
        <v>57</v>
      </c>
      <c r="Q3073" s="29" t="e">
        <f>VLOOKUP(B3073,辅助信息!E:M,9,FALSE)</f>
        <v>#N/A</v>
      </c>
      <c r="R3073" s="29" vm="1" t="e">
        <f>_xlfn._xlws.FILTER(辅助信息!D:D,辅助信息!E:E=B3073)</f>
        <v>#VALUE!</v>
      </c>
    </row>
    <row r="3074" hidden="1" spans="2:18">
      <c r="B3074" s="40" t="s">
        <v>68</v>
      </c>
      <c r="C3074" s="70">
        <v>45901</v>
      </c>
      <c r="D3074" s="40" t="str">
        <f>VLOOKUP(B3074,辅助信息!E:K,7,FALSE)</f>
        <v>JWDDCD2025052800131</v>
      </c>
      <c r="E3074" s="40" t="str">
        <f>VLOOKUP(F3074,辅助信息!A:B,2,FALSE)</f>
        <v>螺纹钢</v>
      </c>
      <c r="F3074" s="40" t="s">
        <v>65</v>
      </c>
      <c r="G3074" s="36">
        <v>60</v>
      </c>
      <c r="H3074" s="142">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09" t="str">
        <f>VLOOKUP(B3074,辅助信息!E:J,6,FALSE)</f>
        <v>控制炉批号！多了现场不收！,优先安排达钢,提前联系到场规格及数量</v>
      </c>
      <c r="M3074" s="91">
        <v>45904</v>
      </c>
      <c r="O3074" s="62">
        <f ca="1" t="shared" si="175"/>
        <v>0</v>
      </c>
      <c r="P3074" s="62">
        <f ca="1" t="shared" si="176"/>
        <v>56</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0">
        <v>45901</v>
      </c>
      <c r="D3075" s="40" t="str">
        <f>VLOOKUP(B3075,辅助信息!E:K,7,FALSE)</f>
        <v>JWDDCD2025052800131</v>
      </c>
      <c r="E3075" s="40" t="str">
        <f>VLOOKUP(F3075,辅助信息!A:B,2,FALSE)</f>
        <v>螺纹钢</v>
      </c>
      <c r="F3075" s="40" t="s">
        <v>30</v>
      </c>
      <c r="G3075" s="36">
        <v>6</v>
      </c>
      <c r="H3075" s="142"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09" t="str">
        <f>VLOOKUP(B3075,辅助信息!E:J,6,FALSE)</f>
        <v>控制炉批号！多了现场不收！,优先安排达钢,提前联系到场规格及数量</v>
      </c>
      <c r="M3075" s="91">
        <v>45904</v>
      </c>
      <c r="O3075" s="62">
        <f ca="1" t="shared" si="175"/>
        <v>0</v>
      </c>
      <c r="P3075" s="62">
        <f ca="1" t="shared" si="176"/>
        <v>56</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0">
        <v>45901</v>
      </c>
      <c r="D3076" s="40" t="str">
        <f>VLOOKUP(B3076,辅助信息!E:K,7,FALSE)</f>
        <v>JWDDCD2025052800131</v>
      </c>
      <c r="E3076" s="40" t="str">
        <f>VLOOKUP(F3076,辅助信息!A:B,2,FALSE)</f>
        <v>螺纹钢</v>
      </c>
      <c r="F3076" s="40" t="s">
        <v>45</v>
      </c>
      <c r="G3076" s="36">
        <v>3</v>
      </c>
      <c r="H3076" s="142"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09" t="str">
        <f>VLOOKUP(B3076,辅助信息!E:J,6,FALSE)</f>
        <v>控制炉批号！多了现场不收！,优先安排达钢,提前联系到场规格及数量</v>
      </c>
      <c r="M3076" s="91">
        <v>45904</v>
      </c>
      <c r="O3076" s="62">
        <f ca="1" t="shared" si="175"/>
        <v>0</v>
      </c>
      <c r="P3076" s="62">
        <f ca="1" t="shared" si="176"/>
        <v>56</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0">
        <v>45901</v>
      </c>
      <c r="D3077" s="40" t="str">
        <f>VLOOKUP(B3077,辅助信息!E:K,7,FALSE)</f>
        <v>JWDDCD2025052800131</v>
      </c>
      <c r="E3077" s="40" t="str">
        <f>VLOOKUP(F3077,辅助信息!A:B,2,FALSE)</f>
        <v>螺纹钢</v>
      </c>
      <c r="F3077" s="40" t="s">
        <v>21</v>
      </c>
      <c r="G3077" s="36">
        <v>6</v>
      </c>
      <c r="H3077" s="142"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09" t="str">
        <f>VLOOKUP(B3077,辅助信息!E:J,6,FALSE)</f>
        <v>控制炉批号！多了现场不收！,优先安排达钢,提前联系到场规格及数量</v>
      </c>
      <c r="M3077" s="91">
        <v>45904</v>
      </c>
      <c r="O3077" s="62">
        <f ca="1" t="shared" si="175"/>
        <v>0</v>
      </c>
      <c r="P3077" s="62">
        <f ca="1" t="shared" si="176"/>
        <v>56</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0">
        <v>45901</v>
      </c>
      <c r="D3078" s="40" t="str">
        <f>VLOOKUP(B3078,辅助信息!E:K,7,FALSE)</f>
        <v>JWDDCD2025052800131</v>
      </c>
      <c r="E3078" s="40" t="str">
        <f>VLOOKUP(F3078,辅助信息!A:B,2,FALSE)</f>
        <v>螺纹钢</v>
      </c>
      <c r="F3078" s="40" t="s">
        <v>58</v>
      </c>
      <c r="G3078" s="36">
        <v>12</v>
      </c>
      <c r="H3078" s="142"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09" t="str">
        <f>VLOOKUP(B3078,辅助信息!E:J,6,FALSE)</f>
        <v>控制炉批号！多了现场不收！,优先安排达钢,提前联系到场规格及数量</v>
      </c>
      <c r="M3078" s="91">
        <v>45904</v>
      </c>
      <c r="O3078" s="62">
        <f ca="1" t="shared" si="175"/>
        <v>0</v>
      </c>
      <c r="P3078" s="62">
        <f ca="1" t="shared" si="176"/>
        <v>56</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0">
        <v>45901</v>
      </c>
      <c r="D3079" s="40" t="str">
        <f>VLOOKUP(B3079,辅助信息!E:K,7,FALSE)</f>
        <v>JWDDCD2025052800131</v>
      </c>
      <c r="E3079" s="40" t="str">
        <f>VLOOKUP(F3079,辅助信息!A:B,2,FALSE)</f>
        <v>螺纹钢</v>
      </c>
      <c r="F3079" s="40" t="s">
        <v>46</v>
      </c>
      <c r="G3079" s="36">
        <v>6</v>
      </c>
      <c r="H3079" s="142"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09" t="str">
        <f>VLOOKUP(B3079,辅助信息!E:J,6,FALSE)</f>
        <v>控制炉批号！多了现场不收！,优先安排达钢,提前联系到场规格及数量</v>
      </c>
      <c r="M3079" s="91">
        <v>45904</v>
      </c>
      <c r="O3079" s="62">
        <f ca="1" t="shared" si="175"/>
        <v>0</v>
      </c>
      <c r="P3079" s="62">
        <f ca="1" t="shared" si="176"/>
        <v>56</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0">
        <v>45901</v>
      </c>
      <c r="D3080" s="40" t="str">
        <f>VLOOKUP(B3080,辅助信息!E:K,7,FALSE)</f>
        <v>JWDDCD2025052800131</v>
      </c>
      <c r="E3080" s="40" t="str">
        <f>VLOOKUP(F3080,辅助信息!A:B,2,FALSE)</f>
        <v>螺纹钢</v>
      </c>
      <c r="F3080" s="40" t="s">
        <v>22</v>
      </c>
      <c r="G3080" s="36">
        <v>6</v>
      </c>
      <c r="H3080" s="142"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09" t="str">
        <f>VLOOKUP(B3080,辅助信息!E:J,6,FALSE)</f>
        <v>控制炉批号！多了现场不收！,优先安排达钢,提前联系到场规格及数量</v>
      </c>
      <c r="M3080" s="91">
        <v>45904</v>
      </c>
      <c r="O3080" s="62">
        <f ca="1" t="shared" si="175"/>
        <v>0</v>
      </c>
      <c r="P3080" s="62">
        <f ca="1" t="shared" si="176"/>
        <v>56</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0">
        <v>45901</v>
      </c>
      <c r="D3081" s="40" t="str">
        <f>VLOOKUP(B3081,辅助信息!E:K,7,FALSE)</f>
        <v>JWDDCD2025052800131</v>
      </c>
      <c r="E3081" s="40" t="str">
        <f>VLOOKUP(F3081,辅助信息!A:B,2,FALSE)</f>
        <v>盘螺</v>
      </c>
      <c r="F3081" s="40" t="s">
        <v>40</v>
      </c>
      <c r="G3081" s="36">
        <v>12</v>
      </c>
      <c r="H3081" s="142">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09" t="str">
        <f>VLOOKUP(B3081,辅助信息!E:J,6,FALSE)</f>
        <v>控制炉批号！多了现场不收！,优先安排达钢,提前联系到场规格及数量</v>
      </c>
      <c r="M3081" s="91">
        <v>45904</v>
      </c>
      <c r="O3081" s="62">
        <f ca="1" t="shared" ref="O3081:O3103" si="177">IF(OR(M3081="",N3081&lt;&gt;""),"",MAX(M3081-TODAY(),0))</f>
        <v>0</v>
      </c>
      <c r="P3081" s="62">
        <f ca="1" t="shared" ref="P3081:P3103" si="178">IF(M3081="","",IF(N3081&lt;&gt;"",MAX(N3081-M3081,0),IF(TODAY()&gt;M3081,TODAY()-M3081,0)))</f>
        <v>56</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0">
        <v>45901</v>
      </c>
      <c r="D3082" s="40" t="str">
        <f>VLOOKUP(B3082,辅助信息!E:K,7,FALSE)</f>
        <v>JWDDCD2025052800131</v>
      </c>
      <c r="E3082" s="40" t="str">
        <f>VLOOKUP(F3082,辅助信息!A:B,2,FALSE)</f>
        <v>盘螺</v>
      </c>
      <c r="F3082" s="40" t="s">
        <v>41</v>
      </c>
      <c r="G3082" s="36">
        <v>8</v>
      </c>
      <c r="H3082" s="142">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09" t="str">
        <f>VLOOKUP(B3082,辅助信息!E:J,6,FALSE)</f>
        <v>控制炉批号！多了现场不收！,优先安排达钢,提前联系到场规格及数量</v>
      </c>
      <c r="M3082" s="91">
        <v>45904</v>
      </c>
      <c r="O3082" s="62">
        <f ca="1" t="shared" si="177"/>
        <v>0</v>
      </c>
      <c r="P3082" s="62">
        <f ca="1" t="shared" si="178"/>
        <v>56</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0">
        <v>45901</v>
      </c>
      <c r="D3083" s="40" t="str">
        <f>VLOOKUP(B3083,辅助信息!E:K,7,FALSE)</f>
        <v>JWDDCD2025052800131</v>
      </c>
      <c r="E3083" s="40" t="str">
        <f>VLOOKUP(F3083,辅助信息!A:B,2,FALSE)</f>
        <v>螺纹钢</v>
      </c>
      <c r="F3083" s="40" t="s">
        <v>27</v>
      </c>
      <c r="G3083" s="36">
        <v>9</v>
      </c>
      <c r="H3083" s="142">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09" t="str">
        <f>VLOOKUP(B3083,辅助信息!E:J,6,FALSE)</f>
        <v>控制炉批号！多了现场不收！,优先安排达钢,提前联系到场规格及数量</v>
      </c>
      <c r="M3083" s="91">
        <v>45904</v>
      </c>
      <c r="O3083" s="62">
        <f ca="1" t="shared" si="177"/>
        <v>0</v>
      </c>
      <c r="P3083" s="62">
        <f ca="1" t="shared" si="178"/>
        <v>56</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0">
        <v>45901</v>
      </c>
      <c r="D3084" s="40" t="str">
        <f>VLOOKUP(B3084,辅助信息!E:K,7,FALSE)</f>
        <v>JWDDCD2025052800131</v>
      </c>
      <c r="E3084" s="40" t="str">
        <f>VLOOKUP(F3084,辅助信息!A:B,2,FALSE)</f>
        <v>螺纹钢</v>
      </c>
      <c r="F3084" s="40" t="s">
        <v>19</v>
      </c>
      <c r="G3084" s="36">
        <v>30</v>
      </c>
      <c r="H3084" s="142">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09" t="str">
        <f>VLOOKUP(B3084,辅助信息!E:J,6,FALSE)</f>
        <v>控制炉批号！多了现场不收！,优先安排达钢,提前联系到场规格及数量</v>
      </c>
      <c r="M3084" s="91">
        <v>45904</v>
      </c>
      <c r="O3084" s="62">
        <f ca="1" t="shared" si="177"/>
        <v>0</v>
      </c>
      <c r="P3084" s="62">
        <f ca="1" t="shared" si="178"/>
        <v>56</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0">
        <v>45901</v>
      </c>
      <c r="D3085" s="40" t="str">
        <f>VLOOKUP(B3085,辅助信息!E:K,7,FALSE)</f>
        <v>JWDDCD2025052800131</v>
      </c>
      <c r="E3085" s="40" t="str">
        <f>VLOOKUP(F3085,辅助信息!A:B,2,FALSE)</f>
        <v>螺纹钢</v>
      </c>
      <c r="F3085" s="40" t="s">
        <v>32</v>
      </c>
      <c r="G3085" s="36">
        <v>12</v>
      </c>
      <c r="H3085" s="142"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09" t="str">
        <f>VLOOKUP(B3085,辅助信息!E:J,6,FALSE)</f>
        <v>控制炉批号！多了现场不收！,优先安排达钢,提前联系到场规格及数量</v>
      </c>
      <c r="M3085" s="91">
        <v>45904</v>
      </c>
      <c r="O3085" s="62">
        <f ca="1" t="shared" si="177"/>
        <v>0</v>
      </c>
      <c r="P3085" s="62">
        <f ca="1" t="shared" si="178"/>
        <v>56</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0">
        <v>45901</v>
      </c>
      <c r="D3086" s="40" t="str">
        <f>VLOOKUP(B3086,辅助信息!E:K,7,FALSE)</f>
        <v>JWDDCD2025052800131</v>
      </c>
      <c r="E3086" s="40" t="str">
        <f>VLOOKUP(F3086,辅助信息!A:B,2,FALSE)</f>
        <v>螺纹钢</v>
      </c>
      <c r="F3086" s="40" t="s">
        <v>30</v>
      </c>
      <c r="G3086" s="36">
        <v>42</v>
      </c>
      <c r="H3086" s="142"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09" t="str">
        <f>VLOOKUP(B3086,辅助信息!E:J,6,FALSE)</f>
        <v>控制炉批号！多了现场不收！,优先安排达钢,提前联系到场规格及数量</v>
      </c>
      <c r="M3086" s="91">
        <v>45904</v>
      </c>
      <c r="O3086" s="62">
        <f ca="1" t="shared" si="177"/>
        <v>0</v>
      </c>
      <c r="P3086" s="62">
        <f ca="1" t="shared" si="178"/>
        <v>56</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0">
        <v>45901</v>
      </c>
      <c r="D3087" s="40" t="str">
        <f>VLOOKUP(B3087,辅助信息!E:K,7,FALSE)</f>
        <v>JWDDCD2025052800131</v>
      </c>
      <c r="E3087" s="40" t="str">
        <f>VLOOKUP(F3087,辅助信息!A:B,2,FALSE)</f>
        <v>螺纹钢</v>
      </c>
      <c r="F3087" s="40" t="s">
        <v>28</v>
      </c>
      <c r="G3087" s="36">
        <v>50</v>
      </c>
      <c r="H3087" s="142"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09" t="str">
        <f>VLOOKUP(B3087,辅助信息!E:J,6,FALSE)</f>
        <v>控制炉批号！多了现场不收！,优先安排达钢,提前联系到场规格及数量</v>
      </c>
      <c r="M3087" s="91">
        <v>45904</v>
      </c>
      <c r="O3087" s="62">
        <f ca="1" t="shared" si="177"/>
        <v>0</v>
      </c>
      <c r="P3087" s="62">
        <f ca="1" t="shared" si="178"/>
        <v>56</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0">
        <v>45901</v>
      </c>
      <c r="D3088" s="40" t="str">
        <f>VLOOKUP(B3088,辅助信息!E:K,7,FALSE)</f>
        <v>JWDDCD2025052800131</v>
      </c>
      <c r="E3088" s="40" t="str">
        <f>VLOOKUP(F3088,辅助信息!A:B,2,FALSE)</f>
        <v>螺纹钢</v>
      </c>
      <c r="F3088" s="40" t="s">
        <v>18</v>
      </c>
      <c r="G3088" s="36">
        <v>44</v>
      </c>
      <c r="H3088" s="142"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09" t="str">
        <f>VLOOKUP(B3088,辅助信息!E:J,6,FALSE)</f>
        <v>控制炉批号！多了现场不收！,优先安排达钢,提前联系到场规格及数量</v>
      </c>
      <c r="M3088" s="91">
        <v>45904</v>
      </c>
      <c r="O3088" s="62">
        <f ca="1" t="shared" si="177"/>
        <v>0</v>
      </c>
      <c r="P3088" s="62">
        <f ca="1" t="shared" si="178"/>
        <v>56</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0">
        <v>45901</v>
      </c>
      <c r="D3089" s="40" t="str">
        <f>VLOOKUP(B3089,辅助信息!E:K,7,FALSE)</f>
        <v>JWDDCD2024121000136</v>
      </c>
      <c r="E3089" s="40" t="str">
        <f>VLOOKUP(F3089,辅助信息!A:B,2,FALSE)</f>
        <v>盘螺</v>
      </c>
      <c r="F3089" s="40" t="s">
        <v>49</v>
      </c>
      <c r="G3089" s="36">
        <v>35</v>
      </c>
      <c r="H3089" s="142"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09" t="str">
        <f>VLOOKUP(B3089,辅助信息!E:J,6,FALSE)</f>
        <v>提前联系到场规格及数量</v>
      </c>
      <c r="M3089" s="91">
        <v>45902</v>
      </c>
      <c r="O3089" s="62">
        <f ca="1" t="shared" si="177"/>
        <v>0</v>
      </c>
      <c r="P3089" s="62">
        <f ca="1" t="shared" si="178"/>
        <v>58</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0">
        <v>45901</v>
      </c>
      <c r="D3090" s="40" t="str">
        <f>VLOOKUP(B3090,辅助信息!E:K,7,FALSE)</f>
        <v>JWDDCD2025060900080</v>
      </c>
      <c r="E3090" s="40" t="str">
        <f>VLOOKUP(F3090,辅助信息!A:B,2,FALSE)</f>
        <v>盘螺</v>
      </c>
      <c r="F3090" s="40" t="s">
        <v>26</v>
      </c>
      <c r="G3090" s="36">
        <v>48</v>
      </c>
      <c r="H3090" s="142">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09" t="str">
        <f>VLOOKUP(B3090,辅助信息!E:J,6,FALSE)</f>
        <v>现场禁止使用氢能源挂车！优先威钢发货,我方卸车,新老国标钢厂不加价可直发，因陕钢多次出现磅差，项目拒绝使用</v>
      </c>
      <c r="M3090" s="91">
        <v>45902</v>
      </c>
      <c r="O3090" s="62">
        <f ca="1" t="shared" si="177"/>
        <v>0</v>
      </c>
      <c r="P3090" s="62">
        <f ca="1" t="shared" si="178"/>
        <v>58</v>
      </c>
      <c r="Q3090" s="29" t="str">
        <f>VLOOKUP(B3090,辅助信息!E:M,9,FALSE)</f>
        <v>ZTWM-CDGS-XS-2024-0030-华西集采-简州大道</v>
      </c>
      <c r="R3090" s="29" t="str">
        <f>_xlfn._xlws.FILTER(辅助信息!D:D,辅助信息!E:E=B3090)</f>
        <v>华西简阳西城嘉苑</v>
      </c>
    </row>
    <row r="3091" hidden="1" spans="2:18">
      <c r="B3091" s="40" t="s">
        <v>81</v>
      </c>
      <c r="C3091" s="70">
        <v>45901</v>
      </c>
      <c r="D3091" s="40" t="str">
        <f>VLOOKUP(B3091,辅助信息!E:K,7,FALSE)</f>
        <v>JWDDCD2025060900080</v>
      </c>
      <c r="E3091" s="40" t="str">
        <f>VLOOKUP(F3091,辅助信息!A:B,2,FALSE)</f>
        <v>螺纹钢</v>
      </c>
      <c r="F3091" s="40" t="s">
        <v>19</v>
      </c>
      <c r="G3091" s="36">
        <v>222</v>
      </c>
      <c r="H3091" s="142">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09" t="str">
        <f>VLOOKUP(B3091,辅助信息!E:J,6,FALSE)</f>
        <v>现场禁止使用氢能源挂车！优先威钢发货,我方卸车,新老国标钢厂不加价可直发，因陕钢多次出现磅差，项目拒绝使用</v>
      </c>
      <c r="M3091" s="91">
        <v>45902</v>
      </c>
      <c r="O3091" s="62">
        <f ca="1" t="shared" si="177"/>
        <v>0</v>
      </c>
      <c r="P3091" s="62">
        <f ca="1" t="shared" si="178"/>
        <v>58</v>
      </c>
      <c r="Q3091" s="29" t="str">
        <f>VLOOKUP(B3091,辅助信息!E:M,9,FALSE)</f>
        <v>ZTWM-CDGS-XS-2024-0030-华西集采-简州大道</v>
      </c>
      <c r="R3091" s="29" t="str">
        <f>_xlfn._xlws.FILTER(辅助信息!D:D,辅助信息!E:E=B3091)</f>
        <v>华西简阳西城嘉苑</v>
      </c>
    </row>
    <row r="3092" hidden="1" spans="2:18">
      <c r="B3092" s="40" t="s">
        <v>81</v>
      </c>
      <c r="C3092" s="143">
        <v>45901</v>
      </c>
      <c r="D3092" s="40" t="str">
        <f>VLOOKUP(B3092,辅助信息!E:K,7,FALSE)</f>
        <v>JWDDCD2025060900080</v>
      </c>
      <c r="E3092" s="135" t="str">
        <f>VLOOKUP(F3092,辅助信息!A:B,2,FALSE)</f>
        <v>螺纹钢</v>
      </c>
      <c r="F3092" s="135" t="s">
        <v>32</v>
      </c>
      <c r="G3092" s="36">
        <v>7.5</v>
      </c>
      <c r="H3092" s="142">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09" t="str">
        <f>VLOOKUP(B3092,辅助信息!E:J,6,FALSE)</f>
        <v>现场禁止使用氢能源挂车！优先威钢发货,我方卸车,新老国标钢厂不加价可直发，因陕钢多次出现磅差，项目拒绝使用</v>
      </c>
      <c r="M3092" s="91">
        <v>45902</v>
      </c>
      <c r="O3092" s="62">
        <f ca="1" t="shared" si="177"/>
        <v>0</v>
      </c>
      <c r="P3092" s="62">
        <f ca="1" t="shared" si="178"/>
        <v>58</v>
      </c>
      <c r="Q3092" s="29" t="str">
        <f>VLOOKUP(B3092,辅助信息!E:M,9,FALSE)</f>
        <v>ZTWM-CDGS-XS-2024-0030-华西集采-简州大道</v>
      </c>
      <c r="R3092" s="29" t="str">
        <f>_xlfn._xlws.FILTER(辅助信息!D:D,辅助信息!E:E=B3092)</f>
        <v>华西简阳西城嘉苑</v>
      </c>
    </row>
    <row r="3093" hidden="1" spans="2:18">
      <c r="B3093" s="40" t="s">
        <v>81</v>
      </c>
      <c r="C3093" s="70">
        <v>45901</v>
      </c>
      <c r="D3093" s="40" t="str">
        <f>VLOOKUP(B3093,辅助信息!E:K,7,FALSE)</f>
        <v>JWDDCD2025060900080</v>
      </c>
      <c r="E3093" s="40" t="str">
        <f>VLOOKUP(F3093,辅助信息!A:B,2,FALSE)</f>
        <v>螺纹钢</v>
      </c>
      <c r="F3093" s="40" t="s">
        <v>30</v>
      </c>
      <c r="G3093" s="36">
        <v>27.5</v>
      </c>
      <c r="H3093" s="142"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09" t="str">
        <f>VLOOKUP(B3093,辅助信息!E:J,6,FALSE)</f>
        <v>现场禁止使用氢能源挂车！优先威钢发货,我方卸车,新老国标钢厂不加价可直发，因陕钢多次出现磅差，项目拒绝使用</v>
      </c>
      <c r="M3093" s="91">
        <v>45902</v>
      </c>
      <c r="O3093" s="62">
        <f ca="1" t="shared" si="177"/>
        <v>0</v>
      </c>
      <c r="P3093" s="62">
        <f ca="1" t="shared" si="178"/>
        <v>58</v>
      </c>
      <c r="Q3093" s="29" t="str">
        <f>VLOOKUP(B3093,辅助信息!E:M,9,FALSE)</f>
        <v>ZTWM-CDGS-XS-2024-0030-华西集采-简州大道</v>
      </c>
      <c r="R3093" s="29" t="str">
        <f>_xlfn._xlws.FILTER(辅助信息!D:D,辅助信息!E:E=B3093)</f>
        <v>华西简阳西城嘉苑</v>
      </c>
    </row>
    <row r="3094" hidden="1" spans="2:18">
      <c r="B3094" s="40" t="s">
        <v>81</v>
      </c>
      <c r="C3094" s="70">
        <v>45901</v>
      </c>
      <c r="D3094" s="40" t="str">
        <f>VLOOKUP(B3094,辅助信息!E:K,7,FALSE)</f>
        <v>JWDDCD2025060900080</v>
      </c>
      <c r="E3094" s="40" t="str">
        <f>VLOOKUP(F3094,辅助信息!A:B,2,FALSE)</f>
        <v>螺纹钢</v>
      </c>
      <c r="F3094" s="40" t="s">
        <v>28</v>
      </c>
      <c r="G3094" s="36">
        <v>5</v>
      </c>
      <c r="H3094" s="142">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09" t="str">
        <f>VLOOKUP(B3094,辅助信息!E:J,6,FALSE)</f>
        <v>现场禁止使用氢能源挂车！优先威钢发货,我方卸车,新老国标钢厂不加价可直发，因陕钢多次出现磅差，项目拒绝使用</v>
      </c>
      <c r="M3094" s="91">
        <v>45902</v>
      </c>
      <c r="O3094" s="62">
        <f ca="1" t="shared" si="177"/>
        <v>0</v>
      </c>
      <c r="P3094" s="62">
        <f ca="1" t="shared" si="178"/>
        <v>58</v>
      </c>
      <c r="Q3094" s="29" t="str">
        <f>VLOOKUP(B3094,辅助信息!E:M,9,FALSE)</f>
        <v>ZTWM-CDGS-XS-2024-0030-华西集采-简州大道</v>
      </c>
      <c r="R3094" s="29" t="str">
        <f>_xlfn._xlws.FILTER(辅助信息!D:D,辅助信息!E:E=B3094)</f>
        <v>华西简阳西城嘉苑</v>
      </c>
    </row>
    <row r="3095" hidden="1" spans="2:18">
      <c r="B3095" s="40" t="s">
        <v>81</v>
      </c>
      <c r="C3095" s="70">
        <v>45901</v>
      </c>
      <c r="D3095" s="40" t="str">
        <f>VLOOKUP(B3095,辅助信息!E:K,7,FALSE)</f>
        <v>JWDDCD2025060900080</v>
      </c>
      <c r="E3095" s="40" t="str">
        <f>VLOOKUP(F3095,辅助信息!A:B,2,FALSE)</f>
        <v>螺纹钢</v>
      </c>
      <c r="F3095" s="40" t="s">
        <v>65</v>
      </c>
      <c r="G3095" s="36">
        <v>17</v>
      </c>
      <c r="H3095" s="142">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09" t="str">
        <f>VLOOKUP(B3095,辅助信息!E:J,6,FALSE)</f>
        <v>现场禁止使用氢能源挂车！优先威钢发货,我方卸车,新老国标钢厂不加价可直发，因陕钢多次出现磅差，项目拒绝使用</v>
      </c>
      <c r="M3095" s="91">
        <v>45902</v>
      </c>
      <c r="O3095" s="62">
        <f ca="1" t="shared" si="177"/>
        <v>0</v>
      </c>
      <c r="P3095" s="62">
        <f ca="1" t="shared" si="178"/>
        <v>58</v>
      </c>
      <c r="Q3095" s="29" t="str">
        <f>VLOOKUP(B3095,辅助信息!E:M,9,FALSE)</f>
        <v>ZTWM-CDGS-XS-2024-0030-华西集采-简州大道</v>
      </c>
      <c r="R3095" s="29" t="str">
        <f>_xlfn._xlws.FILTER(辅助信息!D:D,辅助信息!E:E=B3095)</f>
        <v>华西简阳西城嘉苑</v>
      </c>
    </row>
    <row r="3096" hidden="1" spans="2:18">
      <c r="B3096" s="40" t="s">
        <v>81</v>
      </c>
      <c r="C3096" s="70">
        <v>45901</v>
      </c>
      <c r="D3096" s="40" t="str">
        <f>VLOOKUP(B3096,辅助信息!E:K,7,FALSE)</f>
        <v>JWDDCD2025060900080</v>
      </c>
      <c r="E3096" s="40" t="str">
        <f>VLOOKUP(F3096,辅助信息!A:B,2,FALSE)</f>
        <v>螺纹钢</v>
      </c>
      <c r="F3096" s="40" t="s">
        <v>52</v>
      </c>
      <c r="G3096" s="36">
        <v>9</v>
      </c>
      <c r="H3096" s="142">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09" t="str">
        <f>VLOOKUP(B3096,辅助信息!E:J,6,FALSE)</f>
        <v>现场禁止使用氢能源挂车！优先威钢发货,我方卸车,新老国标钢厂不加价可直发，因陕钢多次出现磅差，项目拒绝使用</v>
      </c>
      <c r="M3096" s="91">
        <v>45902</v>
      </c>
      <c r="O3096" s="62">
        <f ca="1" t="shared" si="177"/>
        <v>0</v>
      </c>
      <c r="P3096" s="62">
        <f ca="1" t="shared" si="178"/>
        <v>58</v>
      </c>
      <c r="Q3096" s="29" t="str">
        <f>VLOOKUP(B3096,辅助信息!E:M,9,FALSE)</f>
        <v>ZTWM-CDGS-XS-2024-0030-华西集采-简州大道</v>
      </c>
      <c r="R3096" s="29" t="str">
        <f>_xlfn._xlws.FILTER(辅助信息!D:D,辅助信息!E:E=B3096)</f>
        <v>华西简阳西城嘉苑</v>
      </c>
    </row>
    <row r="3097" hidden="1" spans="2:18">
      <c r="B3097" s="40" t="s">
        <v>187</v>
      </c>
      <c r="C3097" s="70">
        <v>45901</v>
      </c>
      <c r="D3097" s="40" t="str">
        <f>VLOOKUP(B3097,辅助信息!E:K,7,FALSE)</f>
        <v>JWDDCD2025072900121</v>
      </c>
      <c r="E3097" s="40" t="str">
        <f>VLOOKUP(F3097,辅助信息!A:B,2,FALSE)</f>
        <v>螺纹钢</v>
      </c>
      <c r="F3097" s="40" t="s">
        <v>19</v>
      </c>
      <c r="G3097" s="36">
        <v>35</v>
      </c>
      <c r="H3097" s="142">
        <f>IF(SUMIFS('[1]2025年已发货'!$E:$E,'[1]2025年已发货'!$F:$F,C3097,'[1]2025年已发货'!$C:$C,F3097,'[1]2025年已发货'!$G:$G,I3097,'[1]2025年已发货'!$H:$H,J3097)=0,"未发货",SUMIFS('[1]2025年已发货'!$E:$E,'[1]2025年已发货'!$F:$F,C3097,'[1]2025年已发货'!$C:$C,F3097,'[1]2025年已发货'!$G:$G,I3097,'[1]2025年已发货'!$H:$H,J3097))</f>
        <v>35</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09" t="str">
        <f>VLOOKUP(B3097,辅助信息!E:J,6,FALSE)</f>
        <v>联系实际收货人（范增云13668153241）现场要求炉批号控制2个以下，超2个不给予签收。提前联系到场规格及数量</v>
      </c>
      <c r="M3097" s="91">
        <v>45901</v>
      </c>
      <c r="O3097" s="62">
        <f ca="1" t="shared" si="177"/>
        <v>0</v>
      </c>
      <c r="P3097" s="62">
        <f ca="1" t="shared" si="178"/>
        <v>59</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0">
        <v>45901</v>
      </c>
      <c r="D3098" s="40" t="str">
        <f>VLOOKUP(B3098,辅助信息!E:K,7,FALSE)</f>
        <v>JWDDCD2025072900121</v>
      </c>
      <c r="E3098" s="40" t="str">
        <f>VLOOKUP(F3098,辅助信息!A:B,2,FALSE)</f>
        <v>螺纹钢</v>
      </c>
      <c r="F3098" s="40" t="s">
        <v>199</v>
      </c>
      <c r="G3098" s="36">
        <v>6</v>
      </c>
      <c r="H3098" s="142">
        <f>IF(SUMIFS('[1]2025年已发货'!$E:$E,'[1]2025年已发货'!$F:$F,C3098,'[1]2025年已发货'!$C:$C,F3098,'[1]2025年已发货'!$G:$G,I3098,'[1]2025年已发货'!$H:$H,J3098)=0,"未发货",SUMIFS('[1]2025年已发货'!$E:$E,'[1]2025年已发货'!$F:$F,C3098,'[1]2025年已发货'!$C:$C,F3098,'[1]2025年已发货'!$G:$G,I3098,'[1]2025年已发货'!$H:$H,J3098))</f>
        <v>6</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09" t="str">
        <f>VLOOKUP(B3098,辅助信息!E:J,6,FALSE)</f>
        <v>联系实际收货人（范增云13668153241）现场要求炉批号控制2个以下，超2个不给予签收。提前联系到场规格及数量</v>
      </c>
      <c r="M3098" s="91">
        <v>45901</v>
      </c>
      <c r="O3098" s="62">
        <f ca="1" t="shared" si="177"/>
        <v>0</v>
      </c>
      <c r="P3098" s="62">
        <f ca="1" t="shared" si="178"/>
        <v>59</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0">
        <v>45901</v>
      </c>
      <c r="D3099" s="40" t="str">
        <f>VLOOKUP(B3099,辅助信息!E:K,7,FALSE)</f>
        <v>JWDDCD2025072900121</v>
      </c>
      <c r="E3099" s="40" t="str">
        <f>VLOOKUP(F3099,辅助信息!A:B,2,FALSE)</f>
        <v>螺纹钢</v>
      </c>
      <c r="F3099" s="40" t="s">
        <v>141</v>
      </c>
      <c r="G3099" s="36">
        <v>6</v>
      </c>
      <c r="H3099" s="142">
        <f>IF(SUMIFS('[1]2025年已发货'!$E:$E,'[1]2025年已发货'!$F:$F,C3099,'[1]2025年已发货'!$C:$C,F3099,'[1]2025年已发货'!$G:$G,I3099,'[1]2025年已发货'!$H:$H,J3099)=0,"未发货",SUMIFS('[1]2025年已发货'!$E:$E,'[1]2025年已发货'!$F:$F,C3099,'[1]2025年已发货'!$C:$C,F3099,'[1]2025年已发货'!$G:$G,I3099,'[1]2025年已发货'!$H:$H,J3099))</f>
        <v>6</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09" t="str">
        <f>VLOOKUP(B3099,辅助信息!E:J,6,FALSE)</f>
        <v>联系实际收货人（范增云13668153241）现场要求炉批号控制2个以下，超2个不给予签收。提前联系到场规格及数量</v>
      </c>
      <c r="M3099" s="91">
        <v>45901</v>
      </c>
      <c r="O3099" s="62">
        <f ca="1" t="shared" si="177"/>
        <v>0</v>
      </c>
      <c r="P3099" s="62">
        <f ca="1" t="shared" si="178"/>
        <v>59</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0">
        <v>45901</v>
      </c>
      <c r="D3100" s="40" t="str">
        <f>VLOOKUP(B3100,辅助信息!E:K,7,FALSE)</f>
        <v>JWDDCD2025072900121</v>
      </c>
      <c r="E3100" s="40" t="str">
        <f>VLOOKUP(F3100,辅助信息!A:B,2,FALSE)</f>
        <v>螺纹钢</v>
      </c>
      <c r="F3100" s="40" t="s">
        <v>142</v>
      </c>
      <c r="G3100" s="36">
        <v>35</v>
      </c>
      <c r="H3100" s="142">
        <f>IF(SUMIFS('[1]2025年已发货'!$E:$E,'[1]2025年已发货'!$F:$F,C3100,'[1]2025年已发货'!$C:$C,F3100,'[1]2025年已发货'!$G:$G,I3100,'[1]2025年已发货'!$H:$H,J3100)=0,"未发货",SUMIFS('[1]2025年已发货'!$E:$E,'[1]2025年已发货'!$F:$F,C3100,'[1]2025年已发货'!$C:$C,F3100,'[1]2025年已发货'!$G:$G,I3100,'[1]2025年已发货'!$H:$H,J3100))</f>
        <v>35</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09" t="str">
        <f>VLOOKUP(B3100,辅助信息!E:J,6,FALSE)</f>
        <v>联系实际收货人（范增云13668153241）现场要求炉批号控制2个以下，超2个不给予签收。提前联系到场规格及数量</v>
      </c>
      <c r="M3100" s="91">
        <v>45901</v>
      </c>
      <c r="O3100" s="62">
        <f ca="1" t="shared" si="177"/>
        <v>0</v>
      </c>
      <c r="P3100" s="62">
        <f ca="1" t="shared" si="178"/>
        <v>59</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0">
        <v>45901</v>
      </c>
      <c r="D3101" s="40" t="str">
        <f>VLOOKUP(B3101,辅助信息!E:K,7,FALSE)</f>
        <v>JWDDCD2025072900121</v>
      </c>
      <c r="E3101" s="40" t="str">
        <f>VLOOKUP(F3101,辅助信息!A:B,2,FALSE)</f>
        <v>螺纹钢</v>
      </c>
      <c r="F3101" s="40" t="s">
        <v>182</v>
      </c>
      <c r="G3101" s="36">
        <v>9</v>
      </c>
      <c r="H3101" s="142">
        <f>IF(SUMIFS('[1]2025年已发货'!$E:$E,'[1]2025年已发货'!$F:$F,C3101,'[1]2025年已发货'!$C:$C,F3101,'[1]2025年已发货'!$G:$G,I3101,'[1]2025年已发货'!$H:$H,J3101)=0,"未发货",SUMIFS('[1]2025年已发货'!$E:$E,'[1]2025年已发货'!$F:$F,C3101,'[1]2025年已发货'!$C:$C,F3101,'[1]2025年已发货'!$G:$G,I3101,'[1]2025年已发货'!$H:$H,J3101))</f>
        <v>9</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09" t="str">
        <f>VLOOKUP(B3101,辅助信息!E:J,6,FALSE)</f>
        <v>联系实际收货人（范增云13668153241）现场要求炉批号控制2个以下，超2个不给予签收。提前联系到场规格及数量</v>
      </c>
      <c r="M3101" s="91">
        <v>45901</v>
      </c>
      <c r="O3101" s="62">
        <f ca="1" t="shared" si="177"/>
        <v>0</v>
      </c>
      <c r="P3101" s="62">
        <f ca="1" t="shared" si="178"/>
        <v>59</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0">
        <v>45901</v>
      </c>
      <c r="D3102" s="40" t="str">
        <f>VLOOKUP(B3102,辅助信息!E:K,7,FALSE)</f>
        <v>JWDDCD2025072900121</v>
      </c>
      <c r="E3102" s="40" t="str">
        <f>VLOOKUP(F3102,辅助信息!A:B,2,FALSE)</f>
        <v>螺纹钢</v>
      </c>
      <c r="F3102" s="40" t="s">
        <v>201</v>
      </c>
      <c r="G3102" s="36">
        <v>14</v>
      </c>
      <c r="H3102" s="142">
        <f>IF(SUMIFS('[1]2025年已发货'!$E:$E,'[1]2025年已发货'!$F:$F,C3102,'[1]2025年已发货'!$C:$C,F3102,'[1]2025年已发货'!$G:$G,I3102,'[1]2025年已发货'!$H:$H,J3102)=0,"未发货",SUMIFS('[1]2025年已发货'!$E:$E,'[1]2025年已发货'!$F:$F,C3102,'[1]2025年已发货'!$C:$C,F3102,'[1]2025年已发货'!$G:$G,I3102,'[1]2025年已发货'!$H:$H,J3102))</f>
        <v>14</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09" t="str">
        <f>VLOOKUP(B3102,辅助信息!E:J,6,FALSE)</f>
        <v>联系实际收货人（范增云13668153241）现场要求炉批号控制2个以下，超2个不给予签收。提前联系到场规格及数量</v>
      </c>
      <c r="M3102" s="91">
        <v>45901</v>
      </c>
      <c r="O3102" s="62">
        <f ca="1" t="shared" si="177"/>
        <v>0</v>
      </c>
      <c r="P3102" s="62">
        <f ca="1" t="shared" si="178"/>
        <v>59</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0" t="s">
        <v>211</v>
      </c>
      <c r="C3103" s="70">
        <v>45902</v>
      </c>
      <c r="D3103" s="120" t="e">
        <f>VLOOKUP(B3103,辅助信息!E:K,7,FALSE)</f>
        <v>#N/A</v>
      </c>
      <c r="E3103" s="120" t="str">
        <f>VLOOKUP(F3103,辅助信息!A:B,2,FALSE)</f>
        <v>盘螺</v>
      </c>
      <c r="F3103" s="120" t="s">
        <v>40</v>
      </c>
      <c r="G3103" s="121">
        <v>2.5</v>
      </c>
      <c r="H3103" s="134"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0" t="e">
        <f>VLOOKUP(B3103,辅助信息!E:I,3,FALSE)</f>
        <v>#N/A</v>
      </c>
      <c r="J3103" s="120" t="e">
        <f>VLOOKUP(B3103,辅助信息!E:I,4,FALSE)</f>
        <v>#N/A</v>
      </c>
      <c r="K3103" s="120" t="e">
        <f>VLOOKUP(J3103,辅助信息!H:I,2,FALSE)</f>
        <v>#N/A</v>
      </c>
      <c r="L3103" s="122" t="e">
        <f>VLOOKUP(B3103,辅助信息!E:J,6,FALSE)</f>
        <v>#N/A</v>
      </c>
      <c r="M3103" s="91">
        <v>45903</v>
      </c>
      <c r="N3103" s="62" t="e">
        <f ca="1" t="shared" ref="N3103:N3124" si="179">IF(OR(L3103="",M3103&lt;&gt;""),"",MAX(L3103-TODAY(),0))</f>
        <v>#N/A</v>
      </c>
      <c r="O3103" s="62" t="e">
        <f ca="1" t="shared" si="177"/>
        <v>#N/A</v>
      </c>
      <c r="P3103" s="144" t="e">
        <f ca="1" t="shared" si="178"/>
        <v>#N/A</v>
      </c>
      <c r="Q3103" s="29" t="e">
        <f>VLOOKUP(B3103,辅助信息!E:M,9,FALSE)</f>
        <v>#N/A</v>
      </c>
      <c r="R3103" s="145" vm="1" t="e">
        <f>_xlfn._xlws.FILTER(辅助信息!D:D,辅助信息!E:E=B3103)</f>
        <v>#VALUE!</v>
      </c>
    </row>
    <row r="3104" hidden="1" spans="2:18">
      <c r="B3104" s="120" t="s">
        <v>211</v>
      </c>
      <c r="C3104" s="70">
        <v>45902</v>
      </c>
      <c r="D3104" s="120" t="e">
        <f>VLOOKUP(B3104,辅助信息!E:K,7,FALSE)</f>
        <v>#N/A</v>
      </c>
      <c r="E3104" s="120" t="str">
        <f>VLOOKUP(F3104,辅助信息!A:B,2,FALSE)</f>
        <v>盘螺</v>
      </c>
      <c r="F3104" s="120" t="s">
        <v>41</v>
      </c>
      <c r="G3104" s="121">
        <v>2.5</v>
      </c>
      <c r="H3104" s="134"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0" t="e">
        <f>VLOOKUP(B3104,辅助信息!E:I,3,FALSE)</f>
        <v>#N/A</v>
      </c>
      <c r="J3104" s="120" t="e">
        <f>VLOOKUP(B3104,辅助信息!E:I,4,FALSE)</f>
        <v>#N/A</v>
      </c>
      <c r="K3104" s="120" t="e">
        <f>VLOOKUP(J3104,辅助信息!H:I,2,FALSE)</f>
        <v>#N/A</v>
      </c>
      <c r="L3104" s="122" t="e">
        <f>VLOOKUP(B3104,辅助信息!E:J,6,FALSE)</f>
        <v>#N/A</v>
      </c>
      <c r="M3104" s="91">
        <v>45903</v>
      </c>
      <c r="N3104" s="62" t="e">
        <f ca="1" t="shared" si="179"/>
        <v>#N/A</v>
      </c>
      <c r="O3104" s="62" t="e">
        <f ca="1" t="shared" ref="O3103:O3167" si="180">IF(OR(M3104="",N3104&lt;&gt;""),"",MAX(M3104-TODAY(),0))</f>
        <v>#N/A</v>
      </c>
      <c r="P3104" s="144" t="e">
        <f ca="1" t="shared" ref="P3103:P3167" si="181">IF(M3104="","",IF(N3104&lt;&gt;"",MAX(N3104-M3104,0),IF(TODAY()&gt;M3104,TODAY()-M3104,0)))</f>
        <v>#N/A</v>
      </c>
      <c r="Q3104" s="29" t="e">
        <f>VLOOKUP(B3104,辅助信息!E:M,9,FALSE)</f>
        <v>#N/A</v>
      </c>
      <c r="R3104" s="145" vm="1" t="e">
        <f>_xlfn._xlws.FILTER(辅助信息!D:D,辅助信息!E:E=B3104)</f>
        <v>#VALUE!</v>
      </c>
    </row>
    <row r="3105" hidden="1" spans="2:18">
      <c r="B3105" s="120" t="s">
        <v>211</v>
      </c>
      <c r="C3105" s="70">
        <v>45902</v>
      </c>
      <c r="D3105" s="120" t="e">
        <f>VLOOKUP(B3105,辅助信息!E:K,7,FALSE)</f>
        <v>#N/A</v>
      </c>
      <c r="E3105" s="120" t="str">
        <f>VLOOKUP(F3105,辅助信息!A:B,2,FALSE)</f>
        <v>螺纹钢</v>
      </c>
      <c r="F3105" s="120" t="s">
        <v>27</v>
      </c>
      <c r="G3105" s="121">
        <v>6</v>
      </c>
      <c r="H3105" s="134"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0" t="e">
        <f>VLOOKUP(B3105,辅助信息!E:I,3,FALSE)</f>
        <v>#N/A</v>
      </c>
      <c r="J3105" s="120" t="e">
        <f>VLOOKUP(B3105,辅助信息!E:I,4,FALSE)</f>
        <v>#N/A</v>
      </c>
      <c r="K3105" s="120" t="e">
        <f>VLOOKUP(J3105,辅助信息!H:I,2,FALSE)</f>
        <v>#N/A</v>
      </c>
      <c r="L3105" s="122" t="e">
        <f>VLOOKUP(B3105,辅助信息!E:J,6,FALSE)</f>
        <v>#N/A</v>
      </c>
      <c r="M3105" s="91">
        <v>45903</v>
      </c>
      <c r="N3105" s="62" t="e">
        <f ca="1" t="shared" si="179"/>
        <v>#N/A</v>
      </c>
      <c r="O3105" s="62" t="e">
        <f ca="1" t="shared" si="180"/>
        <v>#N/A</v>
      </c>
      <c r="P3105" s="144" t="e">
        <f ca="1" t="shared" si="181"/>
        <v>#N/A</v>
      </c>
      <c r="Q3105" s="29" t="e">
        <f>VLOOKUP(B3105,辅助信息!E:M,9,FALSE)</f>
        <v>#N/A</v>
      </c>
      <c r="R3105" s="145" vm="1" t="e">
        <f>_xlfn._xlws.FILTER(辅助信息!D:D,辅助信息!E:E=B3105)</f>
        <v>#VALUE!</v>
      </c>
    </row>
    <row r="3106" hidden="1" spans="2:18">
      <c r="B3106" s="120" t="s">
        <v>211</v>
      </c>
      <c r="C3106" s="70">
        <v>45902</v>
      </c>
      <c r="D3106" s="120" t="e">
        <f>VLOOKUP(B3106,辅助信息!E:K,7,FALSE)</f>
        <v>#N/A</v>
      </c>
      <c r="E3106" s="120" t="str">
        <f>VLOOKUP(F3106,辅助信息!A:B,2,FALSE)</f>
        <v>螺纹钢</v>
      </c>
      <c r="F3106" s="120" t="s">
        <v>19</v>
      </c>
      <c r="G3106" s="121">
        <v>3</v>
      </c>
      <c r="H3106" s="134"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0" t="e">
        <f>VLOOKUP(B3106,辅助信息!E:I,3,FALSE)</f>
        <v>#N/A</v>
      </c>
      <c r="J3106" s="120" t="e">
        <f>VLOOKUP(B3106,辅助信息!E:I,4,FALSE)</f>
        <v>#N/A</v>
      </c>
      <c r="K3106" s="120" t="e">
        <f>VLOOKUP(J3106,辅助信息!H:I,2,FALSE)</f>
        <v>#N/A</v>
      </c>
      <c r="L3106" s="122" t="e">
        <f>VLOOKUP(B3106,辅助信息!E:J,6,FALSE)</f>
        <v>#N/A</v>
      </c>
      <c r="M3106" s="91">
        <v>45903</v>
      </c>
      <c r="N3106" s="62" t="e">
        <f ca="1" t="shared" si="179"/>
        <v>#N/A</v>
      </c>
      <c r="O3106" s="62" t="e">
        <f ca="1" t="shared" si="180"/>
        <v>#N/A</v>
      </c>
      <c r="P3106" s="144" t="e">
        <f ca="1" t="shared" si="181"/>
        <v>#N/A</v>
      </c>
      <c r="Q3106" s="29" t="e">
        <f>VLOOKUP(B3106,辅助信息!E:M,9,FALSE)</f>
        <v>#N/A</v>
      </c>
      <c r="R3106" s="145" vm="1" t="e">
        <f>_xlfn._xlws.FILTER(辅助信息!D:D,辅助信息!E:E=B3106)</f>
        <v>#VALUE!</v>
      </c>
    </row>
    <row r="3107" hidden="1" spans="2:18">
      <c r="B3107" s="120" t="s">
        <v>211</v>
      </c>
      <c r="C3107" s="70">
        <v>45902</v>
      </c>
      <c r="D3107" s="120" t="e">
        <f>VLOOKUP(B3107,辅助信息!E:K,7,FALSE)</f>
        <v>#N/A</v>
      </c>
      <c r="E3107" s="120" t="str">
        <f>VLOOKUP(F3107,辅助信息!A:B,2,FALSE)</f>
        <v>螺纹钢</v>
      </c>
      <c r="F3107" s="120" t="s">
        <v>32</v>
      </c>
      <c r="G3107" s="121">
        <v>3</v>
      </c>
      <c r="H3107" s="134"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0" t="e">
        <f>VLOOKUP(B3107,辅助信息!E:I,3,FALSE)</f>
        <v>#N/A</v>
      </c>
      <c r="J3107" s="120" t="e">
        <f>VLOOKUP(B3107,辅助信息!E:I,4,FALSE)</f>
        <v>#N/A</v>
      </c>
      <c r="K3107" s="120" t="e">
        <f>VLOOKUP(J3107,辅助信息!H:I,2,FALSE)</f>
        <v>#N/A</v>
      </c>
      <c r="L3107" s="122" t="e">
        <f>VLOOKUP(B3107,辅助信息!E:J,6,FALSE)</f>
        <v>#N/A</v>
      </c>
      <c r="M3107" s="91">
        <v>45903</v>
      </c>
      <c r="N3107" s="62" t="e">
        <f ca="1" t="shared" si="179"/>
        <v>#N/A</v>
      </c>
      <c r="O3107" s="62" t="e">
        <f ca="1" t="shared" si="180"/>
        <v>#N/A</v>
      </c>
      <c r="P3107" s="144" t="e">
        <f ca="1" t="shared" si="181"/>
        <v>#N/A</v>
      </c>
      <c r="Q3107" s="29" t="e">
        <f>VLOOKUP(B3107,辅助信息!E:M,9,FALSE)</f>
        <v>#N/A</v>
      </c>
      <c r="R3107" s="145" vm="1" t="e">
        <f>_xlfn._xlws.FILTER(辅助信息!D:D,辅助信息!E:E=B3107)</f>
        <v>#VALUE!</v>
      </c>
    </row>
    <row r="3108" hidden="1" spans="2:18">
      <c r="B3108" s="120" t="s">
        <v>211</v>
      </c>
      <c r="C3108" s="70">
        <v>45902</v>
      </c>
      <c r="D3108" s="120" t="e">
        <f>VLOOKUP(B3108,辅助信息!E:K,7,FALSE)</f>
        <v>#N/A</v>
      </c>
      <c r="E3108" s="120" t="str">
        <f>VLOOKUP(F3108,辅助信息!A:B,2,FALSE)</f>
        <v>螺纹钢</v>
      </c>
      <c r="F3108" s="120" t="s">
        <v>30</v>
      </c>
      <c r="G3108" s="121">
        <v>6</v>
      </c>
      <c r="H3108" s="134"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0" t="e">
        <f>VLOOKUP(B3108,辅助信息!E:I,3,FALSE)</f>
        <v>#N/A</v>
      </c>
      <c r="J3108" s="120" t="e">
        <f>VLOOKUP(B3108,辅助信息!E:I,4,FALSE)</f>
        <v>#N/A</v>
      </c>
      <c r="K3108" s="120" t="e">
        <f>VLOOKUP(J3108,辅助信息!H:I,2,FALSE)</f>
        <v>#N/A</v>
      </c>
      <c r="L3108" s="122" t="e">
        <f>VLOOKUP(B3108,辅助信息!E:J,6,FALSE)</f>
        <v>#N/A</v>
      </c>
      <c r="M3108" s="91">
        <v>45903</v>
      </c>
      <c r="N3108" s="62" t="e">
        <f ca="1" t="shared" si="179"/>
        <v>#N/A</v>
      </c>
      <c r="O3108" s="62" t="e">
        <f ca="1" t="shared" si="180"/>
        <v>#N/A</v>
      </c>
      <c r="P3108" s="144" t="e">
        <f ca="1" t="shared" si="181"/>
        <v>#N/A</v>
      </c>
      <c r="Q3108" s="29" t="e">
        <f>VLOOKUP(B3108,辅助信息!E:M,9,FALSE)</f>
        <v>#N/A</v>
      </c>
      <c r="R3108" s="145" vm="1" t="e">
        <f>_xlfn._xlws.FILTER(辅助信息!D:D,辅助信息!E:E=B3108)</f>
        <v>#VALUE!</v>
      </c>
    </row>
    <row r="3109" hidden="1" spans="2:18">
      <c r="B3109" s="120" t="s">
        <v>211</v>
      </c>
      <c r="C3109" s="70">
        <v>45902</v>
      </c>
      <c r="D3109" s="120" t="e">
        <f>VLOOKUP(B3109,辅助信息!E:K,7,FALSE)</f>
        <v>#N/A</v>
      </c>
      <c r="E3109" s="120" t="str">
        <f>VLOOKUP(F3109,辅助信息!A:B,2,FALSE)</f>
        <v>螺纹钢</v>
      </c>
      <c r="F3109" s="120" t="s">
        <v>33</v>
      </c>
      <c r="G3109" s="121">
        <v>3</v>
      </c>
      <c r="H3109" s="134"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0" t="e">
        <f>VLOOKUP(B3109,辅助信息!E:I,3,FALSE)</f>
        <v>#N/A</v>
      </c>
      <c r="J3109" s="120" t="e">
        <f>VLOOKUP(B3109,辅助信息!E:I,4,FALSE)</f>
        <v>#N/A</v>
      </c>
      <c r="K3109" s="120" t="e">
        <f>VLOOKUP(J3109,辅助信息!H:I,2,FALSE)</f>
        <v>#N/A</v>
      </c>
      <c r="L3109" s="122" t="e">
        <f>VLOOKUP(B3109,辅助信息!E:J,6,FALSE)</f>
        <v>#N/A</v>
      </c>
      <c r="M3109" s="91">
        <v>45903</v>
      </c>
      <c r="N3109" s="62" t="e">
        <f ca="1" t="shared" si="179"/>
        <v>#N/A</v>
      </c>
      <c r="O3109" s="62" t="e">
        <f ca="1" t="shared" si="180"/>
        <v>#N/A</v>
      </c>
      <c r="P3109" s="144" t="e">
        <f ca="1" t="shared" si="181"/>
        <v>#N/A</v>
      </c>
      <c r="Q3109" s="29" t="e">
        <f>VLOOKUP(B3109,辅助信息!E:M,9,FALSE)</f>
        <v>#N/A</v>
      </c>
      <c r="R3109" s="145" vm="1" t="e">
        <f>_xlfn._xlws.FILTER(辅助信息!D:D,辅助信息!E:E=B3109)</f>
        <v>#VALUE!</v>
      </c>
    </row>
    <row r="3110" hidden="1" spans="2:18">
      <c r="B3110" s="120" t="s">
        <v>211</v>
      </c>
      <c r="C3110" s="70">
        <v>45902</v>
      </c>
      <c r="D3110" s="120" t="e">
        <f>VLOOKUP(B3110,辅助信息!E:K,7,FALSE)</f>
        <v>#N/A</v>
      </c>
      <c r="E3110" s="120" t="str">
        <f>VLOOKUP(F3110,辅助信息!A:B,2,FALSE)</f>
        <v>螺纹钢</v>
      </c>
      <c r="F3110" s="120" t="s">
        <v>28</v>
      </c>
      <c r="G3110" s="121">
        <v>6</v>
      </c>
      <c r="H3110" s="134"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0" t="e">
        <f>VLOOKUP(B3110,辅助信息!E:I,3,FALSE)</f>
        <v>#N/A</v>
      </c>
      <c r="J3110" s="120" t="e">
        <f>VLOOKUP(B3110,辅助信息!E:I,4,FALSE)</f>
        <v>#N/A</v>
      </c>
      <c r="K3110" s="120" t="e">
        <f>VLOOKUP(J3110,辅助信息!H:I,2,FALSE)</f>
        <v>#N/A</v>
      </c>
      <c r="L3110" s="122" t="e">
        <f>VLOOKUP(B3110,辅助信息!E:J,6,FALSE)</f>
        <v>#N/A</v>
      </c>
      <c r="M3110" s="91">
        <v>45903</v>
      </c>
      <c r="N3110" s="62" t="e">
        <f ca="1" t="shared" si="179"/>
        <v>#N/A</v>
      </c>
      <c r="O3110" s="62" t="e">
        <f ca="1" t="shared" si="180"/>
        <v>#N/A</v>
      </c>
      <c r="P3110" s="144" t="e">
        <f ca="1" t="shared" si="181"/>
        <v>#N/A</v>
      </c>
      <c r="Q3110" s="29" t="e">
        <f>VLOOKUP(B3110,辅助信息!E:M,9,FALSE)</f>
        <v>#N/A</v>
      </c>
      <c r="R3110" s="145" vm="1" t="e">
        <f>_xlfn._xlws.FILTER(辅助信息!D:D,辅助信息!E:E=B3110)</f>
        <v>#VALUE!</v>
      </c>
    </row>
    <row r="3111" hidden="1" spans="2:18">
      <c r="B3111" s="120" t="s">
        <v>211</v>
      </c>
      <c r="C3111" s="70">
        <v>45902</v>
      </c>
      <c r="D3111" s="120" t="e">
        <f>VLOOKUP(B3111,辅助信息!E:K,7,FALSE)</f>
        <v>#N/A</v>
      </c>
      <c r="E3111" s="120" t="str">
        <f>VLOOKUP(F3111,辅助信息!A:B,2,FALSE)</f>
        <v>螺纹钢</v>
      </c>
      <c r="F3111" s="120" t="s">
        <v>18</v>
      </c>
      <c r="G3111" s="121">
        <v>3</v>
      </c>
      <c r="H3111" s="134"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0" t="e">
        <f>VLOOKUP(B3111,辅助信息!E:I,3,FALSE)</f>
        <v>#N/A</v>
      </c>
      <c r="J3111" s="120" t="e">
        <f>VLOOKUP(B3111,辅助信息!E:I,4,FALSE)</f>
        <v>#N/A</v>
      </c>
      <c r="K3111" s="120" t="e">
        <f>VLOOKUP(J3111,辅助信息!H:I,2,FALSE)</f>
        <v>#N/A</v>
      </c>
      <c r="L3111" s="122" t="e">
        <f>VLOOKUP(B3111,辅助信息!E:J,6,FALSE)</f>
        <v>#N/A</v>
      </c>
      <c r="M3111" s="91">
        <v>45903</v>
      </c>
      <c r="N3111" s="62" t="e">
        <f ca="1" t="shared" si="179"/>
        <v>#N/A</v>
      </c>
      <c r="O3111" s="62" t="e">
        <f ca="1" t="shared" si="180"/>
        <v>#N/A</v>
      </c>
      <c r="P3111" s="144" t="e">
        <f ca="1" t="shared" si="181"/>
        <v>#N/A</v>
      </c>
      <c r="Q3111" s="29" t="e">
        <f>VLOOKUP(B3111,辅助信息!E:M,9,FALSE)</f>
        <v>#N/A</v>
      </c>
      <c r="R3111" s="145" vm="1" t="e">
        <f>_xlfn._xlws.FILTER(辅助信息!D:D,辅助信息!E:E=B3111)</f>
        <v>#VALUE!</v>
      </c>
    </row>
    <row r="3112" hidden="1" spans="2:18">
      <c r="B3112" s="120" t="s">
        <v>47</v>
      </c>
      <c r="C3112" s="70">
        <v>45902</v>
      </c>
      <c r="D3112" s="120" t="str">
        <f>VLOOKUP(B3112,辅助信息!E:K,7,FALSE)</f>
        <v>JWDDCD2025052800131</v>
      </c>
      <c r="E3112" s="120" t="str">
        <f>VLOOKUP(F3112,辅助信息!A:B,2,FALSE)</f>
        <v>螺纹钢</v>
      </c>
      <c r="F3112" s="120" t="s">
        <v>30</v>
      </c>
      <c r="G3112" s="121">
        <v>6</v>
      </c>
      <c r="H3112" s="134"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0" t="str">
        <f>VLOOKUP(B3112,辅助信息!E:I,3,FALSE)</f>
        <v>（商投建工达州中医药科技园-1工区）达州市通川区达州中医药职业学院犀牛大道北段</v>
      </c>
      <c r="J3112" s="120" t="str">
        <f>VLOOKUP(B3112,辅助信息!E:I,4,FALSE)</f>
        <v>程黄刚</v>
      </c>
      <c r="K3112" s="120">
        <f>VLOOKUP(J3112,辅助信息!H:I,2,FALSE)</f>
        <v>15108211617</v>
      </c>
      <c r="L3112" s="122" t="str">
        <f>VLOOKUP(B3112,辅助信息!E:J,6,FALSE)</f>
        <v>控制炉批号！多了现场不收！,优先安排达钢,提前联系到场规格及数量</v>
      </c>
      <c r="M3112" s="91">
        <v>45904</v>
      </c>
      <c r="N3112" s="62" t="str">
        <f ca="1" t="shared" si="179"/>
        <v/>
      </c>
      <c r="O3112" s="62">
        <f ca="1" t="shared" si="180"/>
        <v>0</v>
      </c>
      <c r="P3112" s="144">
        <f ca="1" t="shared" si="181"/>
        <v>56</v>
      </c>
      <c r="Q3112" s="29" t="str">
        <f>VLOOKUP(B3112,辅助信息!E:M,9,FALSE)</f>
        <v>ZTWM-CDGS-XS-2024-0134-商投建工达州中医药科技成果示范园项目</v>
      </c>
      <c r="R3112" s="145" t="str">
        <f>_xlfn._xlws.FILTER(辅助信息!D:D,辅助信息!E:E=B3112)</f>
        <v>商投建工达州中医药科技园</v>
      </c>
    </row>
    <row r="3113" hidden="1" spans="2:18">
      <c r="B3113" s="120" t="s">
        <v>47</v>
      </c>
      <c r="C3113" s="70">
        <v>45902</v>
      </c>
      <c r="D3113" s="120" t="str">
        <f>VLOOKUP(B3113,辅助信息!E:K,7,FALSE)</f>
        <v>JWDDCD2025052800131</v>
      </c>
      <c r="E3113" s="120" t="str">
        <f>VLOOKUP(F3113,辅助信息!A:B,2,FALSE)</f>
        <v>螺纹钢</v>
      </c>
      <c r="F3113" s="120" t="s">
        <v>45</v>
      </c>
      <c r="G3113" s="121">
        <v>3</v>
      </c>
      <c r="H3113" s="134"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0" t="str">
        <f>VLOOKUP(B3113,辅助信息!E:I,3,FALSE)</f>
        <v>（商投建工达州中医药科技园-1工区）达州市通川区达州中医药职业学院犀牛大道北段</v>
      </c>
      <c r="J3113" s="120" t="str">
        <f>VLOOKUP(B3113,辅助信息!E:I,4,FALSE)</f>
        <v>程黄刚</v>
      </c>
      <c r="K3113" s="120">
        <f>VLOOKUP(J3113,辅助信息!H:I,2,FALSE)</f>
        <v>15108211617</v>
      </c>
      <c r="L3113" s="122" t="str">
        <f>VLOOKUP(B3113,辅助信息!E:J,6,FALSE)</f>
        <v>控制炉批号！多了现场不收！,优先安排达钢,提前联系到场规格及数量</v>
      </c>
      <c r="M3113" s="91">
        <v>45904</v>
      </c>
      <c r="N3113" s="62" t="str">
        <f ca="1" t="shared" si="179"/>
        <v/>
      </c>
      <c r="O3113" s="62">
        <f ca="1" t="shared" si="180"/>
        <v>0</v>
      </c>
      <c r="P3113" s="144">
        <f ca="1" t="shared" si="181"/>
        <v>56</v>
      </c>
      <c r="Q3113" s="29" t="str">
        <f>VLOOKUP(B3113,辅助信息!E:M,9,FALSE)</f>
        <v>ZTWM-CDGS-XS-2024-0134-商投建工达州中医药科技成果示范园项目</v>
      </c>
      <c r="R3113" s="145" t="str">
        <f>_xlfn._xlws.FILTER(辅助信息!D:D,辅助信息!E:E=B3113)</f>
        <v>商投建工达州中医药科技园</v>
      </c>
    </row>
    <row r="3114" hidden="1" spans="2:18">
      <c r="B3114" s="120" t="s">
        <v>47</v>
      </c>
      <c r="C3114" s="70">
        <v>45902</v>
      </c>
      <c r="D3114" s="120" t="str">
        <f>VLOOKUP(B3114,辅助信息!E:K,7,FALSE)</f>
        <v>JWDDCD2025052800131</v>
      </c>
      <c r="E3114" s="120" t="str">
        <f>VLOOKUP(F3114,辅助信息!A:B,2,FALSE)</f>
        <v>螺纹钢</v>
      </c>
      <c r="F3114" s="120" t="s">
        <v>21</v>
      </c>
      <c r="G3114" s="121">
        <v>6</v>
      </c>
      <c r="H3114" s="134"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0" t="str">
        <f>VLOOKUP(B3114,辅助信息!E:I,3,FALSE)</f>
        <v>（商投建工达州中医药科技园-1工区）达州市通川区达州中医药职业学院犀牛大道北段</v>
      </c>
      <c r="J3114" s="120" t="str">
        <f>VLOOKUP(B3114,辅助信息!E:I,4,FALSE)</f>
        <v>程黄刚</v>
      </c>
      <c r="K3114" s="120">
        <f>VLOOKUP(J3114,辅助信息!H:I,2,FALSE)</f>
        <v>15108211617</v>
      </c>
      <c r="L3114" s="122" t="str">
        <f>VLOOKUP(B3114,辅助信息!E:J,6,FALSE)</f>
        <v>控制炉批号！多了现场不收！,优先安排达钢,提前联系到场规格及数量</v>
      </c>
      <c r="M3114" s="91">
        <v>45904</v>
      </c>
      <c r="N3114" s="62" t="str">
        <f ca="1" t="shared" si="179"/>
        <v/>
      </c>
      <c r="O3114" s="62">
        <f ca="1" t="shared" si="180"/>
        <v>0</v>
      </c>
      <c r="P3114" s="144">
        <f ca="1" t="shared" si="181"/>
        <v>56</v>
      </c>
      <c r="Q3114" s="29" t="str">
        <f>VLOOKUP(B3114,辅助信息!E:M,9,FALSE)</f>
        <v>ZTWM-CDGS-XS-2024-0134-商投建工达州中医药科技成果示范园项目</v>
      </c>
      <c r="R3114" s="145" t="str">
        <f>_xlfn._xlws.FILTER(辅助信息!D:D,辅助信息!E:E=B3114)</f>
        <v>商投建工达州中医药科技园</v>
      </c>
    </row>
    <row r="3115" hidden="1" spans="2:18">
      <c r="B3115" s="120" t="s">
        <v>47</v>
      </c>
      <c r="C3115" s="70">
        <v>45902</v>
      </c>
      <c r="D3115" s="120" t="str">
        <f>VLOOKUP(B3115,辅助信息!E:K,7,FALSE)</f>
        <v>JWDDCD2025052800131</v>
      </c>
      <c r="E3115" s="120" t="str">
        <f>VLOOKUP(F3115,辅助信息!A:B,2,FALSE)</f>
        <v>螺纹钢</v>
      </c>
      <c r="F3115" s="120" t="s">
        <v>58</v>
      </c>
      <c r="G3115" s="121">
        <v>12</v>
      </c>
      <c r="H3115" s="134"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0" t="str">
        <f>VLOOKUP(B3115,辅助信息!E:I,3,FALSE)</f>
        <v>（商投建工达州中医药科技园-1工区）达州市通川区达州中医药职业学院犀牛大道北段</v>
      </c>
      <c r="J3115" s="120" t="str">
        <f>VLOOKUP(B3115,辅助信息!E:I,4,FALSE)</f>
        <v>程黄刚</v>
      </c>
      <c r="K3115" s="120">
        <f>VLOOKUP(J3115,辅助信息!H:I,2,FALSE)</f>
        <v>15108211617</v>
      </c>
      <c r="L3115" s="122" t="str">
        <f>VLOOKUP(B3115,辅助信息!E:J,6,FALSE)</f>
        <v>控制炉批号！多了现场不收！,优先安排达钢,提前联系到场规格及数量</v>
      </c>
      <c r="M3115" s="91">
        <v>45904</v>
      </c>
      <c r="N3115" s="62" t="str">
        <f ca="1" t="shared" si="179"/>
        <v/>
      </c>
      <c r="O3115" s="62">
        <f ca="1" t="shared" si="180"/>
        <v>0</v>
      </c>
      <c r="P3115" s="144">
        <f ca="1" t="shared" si="181"/>
        <v>56</v>
      </c>
      <c r="Q3115" s="29" t="str">
        <f>VLOOKUP(B3115,辅助信息!E:M,9,FALSE)</f>
        <v>ZTWM-CDGS-XS-2024-0134-商投建工达州中医药科技成果示范园项目</v>
      </c>
      <c r="R3115" s="145" t="str">
        <f>_xlfn._xlws.FILTER(辅助信息!D:D,辅助信息!E:E=B3115)</f>
        <v>商投建工达州中医药科技园</v>
      </c>
    </row>
    <row r="3116" hidden="1" spans="2:18">
      <c r="B3116" s="120" t="s">
        <v>47</v>
      </c>
      <c r="C3116" s="70">
        <v>45902</v>
      </c>
      <c r="D3116" s="120" t="str">
        <f>VLOOKUP(B3116,辅助信息!E:K,7,FALSE)</f>
        <v>JWDDCD2025052800131</v>
      </c>
      <c r="E3116" s="120" t="str">
        <f>VLOOKUP(F3116,辅助信息!A:B,2,FALSE)</f>
        <v>螺纹钢</v>
      </c>
      <c r="F3116" s="120" t="s">
        <v>46</v>
      </c>
      <c r="G3116" s="121">
        <v>6</v>
      </c>
      <c r="H3116" s="134"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0" t="str">
        <f>VLOOKUP(B3116,辅助信息!E:I,3,FALSE)</f>
        <v>（商投建工达州中医药科技园-1工区）达州市通川区达州中医药职业学院犀牛大道北段</v>
      </c>
      <c r="J3116" s="120" t="str">
        <f>VLOOKUP(B3116,辅助信息!E:I,4,FALSE)</f>
        <v>程黄刚</v>
      </c>
      <c r="K3116" s="120">
        <f>VLOOKUP(J3116,辅助信息!H:I,2,FALSE)</f>
        <v>15108211617</v>
      </c>
      <c r="L3116" s="122" t="str">
        <f>VLOOKUP(B3116,辅助信息!E:J,6,FALSE)</f>
        <v>控制炉批号！多了现场不收！,优先安排达钢,提前联系到场规格及数量</v>
      </c>
      <c r="M3116" s="91">
        <v>45904</v>
      </c>
      <c r="N3116" s="62" t="str">
        <f ca="1" t="shared" si="179"/>
        <v/>
      </c>
      <c r="O3116" s="62">
        <f ca="1" t="shared" si="180"/>
        <v>0</v>
      </c>
      <c r="P3116" s="144">
        <f ca="1" t="shared" si="181"/>
        <v>56</v>
      </c>
      <c r="Q3116" s="29" t="str">
        <f>VLOOKUP(B3116,辅助信息!E:M,9,FALSE)</f>
        <v>ZTWM-CDGS-XS-2024-0134-商投建工达州中医药科技成果示范园项目</v>
      </c>
      <c r="R3116" s="145" t="str">
        <f>_xlfn._xlws.FILTER(辅助信息!D:D,辅助信息!E:E=B3116)</f>
        <v>商投建工达州中医药科技园</v>
      </c>
    </row>
    <row r="3117" hidden="1" spans="2:18">
      <c r="B3117" s="120" t="s">
        <v>47</v>
      </c>
      <c r="C3117" s="70">
        <v>45902</v>
      </c>
      <c r="D3117" s="120" t="str">
        <f>VLOOKUP(B3117,辅助信息!E:K,7,FALSE)</f>
        <v>JWDDCD2025052800131</v>
      </c>
      <c r="E3117" s="120" t="str">
        <f>VLOOKUP(F3117,辅助信息!A:B,2,FALSE)</f>
        <v>螺纹钢</v>
      </c>
      <c r="F3117" s="120" t="s">
        <v>22</v>
      </c>
      <c r="G3117" s="121">
        <v>6</v>
      </c>
      <c r="H3117" s="134"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0" t="str">
        <f>VLOOKUP(B3117,辅助信息!E:I,3,FALSE)</f>
        <v>（商投建工达州中医药科技园-1工区）达州市通川区达州中医药职业学院犀牛大道北段</v>
      </c>
      <c r="J3117" s="120" t="str">
        <f>VLOOKUP(B3117,辅助信息!E:I,4,FALSE)</f>
        <v>程黄刚</v>
      </c>
      <c r="K3117" s="120">
        <f>VLOOKUP(J3117,辅助信息!H:I,2,FALSE)</f>
        <v>15108211617</v>
      </c>
      <c r="L3117" s="122" t="str">
        <f>VLOOKUP(B3117,辅助信息!E:J,6,FALSE)</f>
        <v>控制炉批号！多了现场不收！,优先安排达钢,提前联系到场规格及数量</v>
      </c>
      <c r="M3117" s="91">
        <v>45904</v>
      </c>
      <c r="N3117" s="62" t="str">
        <f ca="1" t="shared" si="179"/>
        <v/>
      </c>
      <c r="O3117" s="62">
        <f ca="1" t="shared" si="180"/>
        <v>0</v>
      </c>
      <c r="P3117" s="144">
        <f ca="1" t="shared" si="181"/>
        <v>56</v>
      </c>
      <c r="Q3117" s="29" t="str">
        <f>VLOOKUP(B3117,辅助信息!E:M,9,FALSE)</f>
        <v>ZTWM-CDGS-XS-2024-0134-商投建工达州中医药科技成果示范园项目</v>
      </c>
      <c r="R3117" s="145" t="str">
        <f>_xlfn._xlws.FILTER(辅助信息!D:D,辅助信息!E:E=B3117)</f>
        <v>商投建工达州中医药科技园</v>
      </c>
    </row>
    <row r="3118" hidden="1" spans="2:18">
      <c r="B3118" s="120" t="s">
        <v>68</v>
      </c>
      <c r="C3118" s="70">
        <v>45902</v>
      </c>
      <c r="D3118" s="120" t="str">
        <f>VLOOKUP(B3118,辅助信息!E:K,7,FALSE)</f>
        <v>JWDDCD2025052800131</v>
      </c>
      <c r="E3118" s="120" t="str">
        <f>VLOOKUP(F3118,辅助信息!A:B,2,FALSE)</f>
        <v>螺纹钢</v>
      </c>
      <c r="F3118" s="120" t="s">
        <v>32</v>
      </c>
      <c r="G3118" s="121">
        <v>12</v>
      </c>
      <c r="H3118" s="134">
        <f>IF(SUMIFS('[1]2025年已发货'!$E:$E,'[1]2025年已发货'!$F:$F,C3118,'[1]2025年已发货'!$C:$C,F3118,'[1]2025年已发货'!$G:$G,I3118,'[1]2025年已发货'!$H:$H,J3118)=0,"未发货",SUMIFS('[1]2025年已发货'!$E:$E,'[1]2025年已发货'!$F:$F,C3118,'[1]2025年已发货'!$C:$C,F3118,'[1]2025年已发货'!$G:$G,I3118,'[1]2025年已发货'!$H:$H,J3118))</f>
        <v>12</v>
      </c>
      <c r="I3118" s="120" t="str">
        <f>VLOOKUP(B3118,辅助信息!E:I,3,FALSE)</f>
        <v>（商投建工达州中医药科技园-2工区-景观桥）达州市通川区达州中医药职业学院犀牛大道北段</v>
      </c>
      <c r="J3118" s="120" t="str">
        <f>VLOOKUP(B3118,辅助信息!E:I,4,FALSE)</f>
        <v>李波</v>
      </c>
      <c r="K3118" s="120">
        <f>VLOOKUP(J3118,辅助信息!H:I,2,FALSE)</f>
        <v>18381899787</v>
      </c>
      <c r="L3118" s="122" t="str">
        <f>VLOOKUP(B3118,辅助信息!E:J,6,FALSE)</f>
        <v>控制炉批号！多了现场不收！,优先安排达钢,提前联系到场规格及数量</v>
      </c>
      <c r="M3118" s="91">
        <v>45904</v>
      </c>
      <c r="N3118" s="62" t="str">
        <f ca="1" t="shared" si="179"/>
        <v/>
      </c>
      <c r="O3118" s="62">
        <f ca="1" t="shared" si="180"/>
        <v>0</v>
      </c>
      <c r="P3118" s="144">
        <f ca="1" t="shared" si="181"/>
        <v>56</v>
      </c>
      <c r="Q3118" s="29" t="str">
        <f>VLOOKUP(B3118,辅助信息!E:M,9,FALSE)</f>
        <v>ZTWM-CDGS-XS-2024-0134-商投建工达州中医药科技成果示范园项目</v>
      </c>
      <c r="R3118" s="145" t="str">
        <f>_xlfn._xlws.FILTER(辅助信息!D:D,辅助信息!E:E=B3118)</f>
        <v>商投建工达州中医药科技园</v>
      </c>
    </row>
    <row r="3119" hidden="1" spans="2:18">
      <c r="B3119" s="120" t="s">
        <v>68</v>
      </c>
      <c r="C3119" s="70">
        <v>45902</v>
      </c>
      <c r="D3119" s="120" t="str">
        <f>VLOOKUP(B3119,辅助信息!E:K,7,FALSE)</f>
        <v>JWDDCD2025052800131</v>
      </c>
      <c r="E3119" s="120" t="str">
        <f>VLOOKUP(F3119,辅助信息!A:B,2,FALSE)</f>
        <v>螺纹钢</v>
      </c>
      <c r="F3119" s="120" t="s">
        <v>30</v>
      </c>
      <c r="G3119" s="121">
        <v>42</v>
      </c>
      <c r="H3119" s="134"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0" t="str">
        <f>VLOOKUP(B3119,辅助信息!E:I,3,FALSE)</f>
        <v>（商投建工达州中医药科技园-2工区-景观桥）达州市通川区达州中医药职业学院犀牛大道北段</v>
      </c>
      <c r="J3119" s="120" t="str">
        <f>VLOOKUP(B3119,辅助信息!E:I,4,FALSE)</f>
        <v>李波</v>
      </c>
      <c r="K3119" s="120">
        <f>VLOOKUP(J3119,辅助信息!H:I,2,FALSE)</f>
        <v>18381899787</v>
      </c>
      <c r="L3119" s="122" t="str">
        <f>VLOOKUP(B3119,辅助信息!E:J,6,FALSE)</f>
        <v>控制炉批号！多了现场不收！,优先安排达钢,提前联系到场规格及数量</v>
      </c>
      <c r="M3119" s="91">
        <v>45904</v>
      </c>
      <c r="N3119" s="62" t="str">
        <f ca="1" t="shared" si="179"/>
        <v/>
      </c>
      <c r="O3119" s="62">
        <f ca="1" t="shared" si="180"/>
        <v>0</v>
      </c>
      <c r="P3119" s="144">
        <f ca="1" t="shared" si="181"/>
        <v>56</v>
      </c>
      <c r="Q3119" s="29" t="str">
        <f>VLOOKUP(B3119,辅助信息!E:M,9,FALSE)</f>
        <v>ZTWM-CDGS-XS-2024-0134-商投建工达州中医药科技成果示范园项目</v>
      </c>
      <c r="R3119" s="145" t="str">
        <f>_xlfn._xlws.FILTER(辅助信息!D:D,辅助信息!E:E=B3119)</f>
        <v>商投建工达州中医药科技园</v>
      </c>
    </row>
    <row r="3120" hidden="1" spans="2:18">
      <c r="B3120" s="120" t="s">
        <v>68</v>
      </c>
      <c r="C3120" s="70">
        <v>45902</v>
      </c>
      <c r="D3120" s="120" t="str">
        <f>VLOOKUP(B3120,辅助信息!E:K,7,FALSE)</f>
        <v>JWDDCD2025052800131</v>
      </c>
      <c r="E3120" s="120" t="str">
        <f>VLOOKUP(F3120,辅助信息!A:B,2,FALSE)</f>
        <v>螺纹钢</v>
      </c>
      <c r="F3120" s="120" t="s">
        <v>28</v>
      </c>
      <c r="G3120" s="121">
        <v>50</v>
      </c>
      <c r="H3120" s="134">
        <f>IF(SUMIFS('[1]2025年已发货'!$E:$E,'[1]2025年已发货'!$F:$F,C3120,'[1]2025年已发货'!$C:$C,F3120,'[1]2025年已发货'!$G:$G,I3120,'[1]2025年已发货'!$H:$H,J3120)=0,"未发货",SUMIFS('[1]2025年已发货'!$E:$E,'[1]2025年已发货'!$F:$F,C3120,'[1]2025年已发货'!$C:$C,F3120,'[1]2025年已发货'!$G:$G,I3120,'[1]2025年已发货'!$H:$H,J3120))</f>
        <v>35</v>
      </c>
      <c r="I3120" s="120" t="str">
        <f>VLOOKUP(B3120,辅助信息!E:I,3,FALSE)</f>
        <v>（商投建工达州中医药科技园-2工区-景观桥）达州市通川区达州中医药职业学院犀牛大道北段</v>
      </c>
      <c r="J3120" s="120" t="str">
        <f>VLOOKUP(B3120,辅助信息!E:I,4,FALSE)</f>
        <v>李波</v>
      </c>
      <c r="K3120" s="120">
        <f>VLOOKUP(J3120,辅助信息!H:I,2,FALSE)</f>
        <v>18381899787</v>
      </c>
      <c r="L3120" s="122" t="str">
        <f>VLOOKUP(B3120,辅助信息!E:J,6,FALSE)</f>
        <v>控制炉批号！多了现场不收！,优先安排达钢,提前联系到场规格及数量</v>
      </c>
      <c r="M3120" s="91">
        <v>45904</v>
      </c>
      <c r="N3120" s="62" t="str">
        <f ca="1" t="shared" si="179"/>
        <v/>
      </c>
      <c r="O3120" s="62">
        <f ca="1" t="shared" si="180"/>
        <v>0</v>
      </c>
      <c r="P3120" s="144">
        <f ca="1" t="shared" si="181"/>
        <v>56</v>
      </c>
      <c r="Q3120" s="29" t="str">
        <f>VLOOKUP(B3120,辅助信息!E:M,9,FALSE)</f>
        <v>ZTWM-CDGS-XS-2024-0134-商投建工达州中医药科技成果示范园项目</v>
      </c>
      <c r="R3120" s="145" t="str">
        <f>_xlfn._xlws.FILTER(辅助信息!D:D,辅助信息!E:E=B3120)</f>
        <v>商投建工达州中医药科技园</v>
      </c>
    </row>
    <row r="3121" hidden="1" spans="2:18">
      <c r="B3121" s="120" t="s">
        <v>68</v>
      </c>
      <c r="C3121" s="70">
        <v>45902</v>
      </c>
      <c r="D3121" s="120" t="str">
        <f>VLOOKUP(B3121,辅助信息!E:K,7,FALSE)</f>
        <v>JWDDCD2025052800131</v>
      </c>
      <c r="E3121" s="120" t="str">
        <f>VLOOKUP(F3121,辅助信息!A:B,2,FALSE)</f>
        <v>螺纹钢</v>
      </c>
      <c r="F3121" s="120" t="s">
        <v>18</v>
      </c>
      <c r="G3121" s="121">
        <v>44</v>
      </c>
      <c r="H3121" s="134">
        <f>IF(SUMIFS('[1]2025年已发货'!$E:$E,'[1]2025年已发货'!$F:$F,C3121,'[1]2025年已发货'!$C:$C,F3121,'[1]2025年已发货'!$G:$G,I3121,'[1]2025年已发货'!$H:$H,J3121)=0,"未发货",SUMIFS('[1]2025年已发货'!$E:$E,'[1]2025年已发货'!$F:$F,C3121,'[1]2025年已发货'!$C:$C,F3121,'[1]2025年已发货'!$G:$G,I3121,'[1]2025年已发货'!$H:$H,J3121))</f>
        <v>44</v>
      </c>
      <c r="I3121" s="120" t="str">
        <f>VLOOKUP(B3121,辅助信息!E:I,3,FALSE)</f>
        <v>（商投建工达州中医药科技园-2工区-景观桥）达州市通川区达州中医药职业学院犀牛大道北段</v>
      </c>
      <c r="J3121" s="120" t="str">
        <f>VLOOKUP(B3121,辅助信息!E:I,4,FALSE)</f>
        <v>李波</v>
      </c>
      <c r="K3121" s="120">
        <f>VLOOKUP(J3121,辅助信息!H:I,2,FALSE)</f>
        <v>18381899787</v>
      </c>
      <c r="L3121" s="122" t="str">
        <f>VLOOKUP(B3121,辅助信息!E:J,6,FALSE)</f>
        <v>控制炉批号！多了现场不收！,优先安排达钢,提前联系到场规格及数量</v>
      </c>
      <c r="M3121" s="91">
        <v>45904</v>
      </c>
      <c r="N3121" s="62" t="str">
        <f ca="1" t="shared" si="179"/>
        <v/>
      </c>
      <c r="O3121" s="62">
        <f ca="1" t="shared" si="180"/>
        <v>0</v>
      </c>
      <c r="P3121" s="144">
        <f ca="1" t="shared" si="181"/>
        <v>56</v>
      </c>
      <c r="Q3121" s="29" t="str">
        <f>VLOOKUP(B3121,辅助信息!E:M,9,FALSE)</f>
        <v>ZTWM-CDGS-XS-2024-0134-商投建工达州中医药科技成果示范园项目</v>
      </c>
      <c r="R3121" s="145" t="str">
        <f>_xlfn._xlws.FILTER(辅助信息!D:D,辅助信息!E:E=B3121)</f>
        <v>商投建工达州中医药科技园</v>
      </c>
    </row>
    <row r="3122" hidden="1" spans="2:18">
      <c r="B3122" s="120" t="s">
        <v>31</v>
      </c>
      <c r="C3122" s="70">
        <v>45902</v>
      </c>
      <c r="D3122" s="120" t="str">
        <f>VLOOKUP(B3122,辅助信息!E:K,7,FALSE)</f>
        <v>JWDDCD2024121000136</v>
      </c>
      <c r="E3122" s="120" t="str">
        <f>VLOOKUP(F3122,辅助信息!A:B,2,FALSE)</f>
        <v>盘螺</v>
      </c>
      <c r="F3122" s="120" t="s">
        <v>49</v>
      </c>
      <c r="G3122" s="121">
        <v>35</v>
      </c>
      <c r="H3122" s="134">
        <f>IF(SUMIFS('[1]2025年已发货'!$E:$E,'[1]2025年已发货'!$F:$F,C3122,'[1]2025年已发货'!$C:$C,F3122,'[1]2025年已发货'!$G:$G,I3122,'[1]2025年已发货'!$H:$H,J3122)=0,"未发货",SUMIFS('[1]2025年已发货'!$E:$E,'[1]2025年已发货'!$F:$F,C3122,'[1]2025年已发货'!$C:$C,F3122,'[1]2025年已发货'!$G:$G,I3122,'[1]2025年已发货'!$H:$H,J3122))</f>
        <v>35</v>
      </c>
      <c r="I3122" s="120" t="str">
        <f>VLOOKUP(B3122,辅助信息!E:I,3,FALSE)</f>
        <v>（四川商建-射洪城乡一体化项目）遂宁市射洪市忠新幼儿园北侧约220米新溪小区</v>
      </c>
      <c r="J3122" s="120" t="str">
        <f>VLOOKUP(B3122,辅助信息!E:I,4,FALSE)</f>
        <v>柏子刚</v>
      </c>
      <c r="K3122" s="120">
        <f>VLOOKUP(J3122,辅助信息!H:I,2,FALSE)</f>
        <v>15692885305</v>
      </c>
      <c r="L3122" s="122" t="str">
        <f>VLOOKUP(B3122,辅助信息!E:J,6,FALSE)</f>
        <v>提前联系到场规格及数量</v>
      </c>
      <c r="M3122" s="91">
        <v>45902</v>
      </c>
      <c r="N3122" s="62" t="str">
        <f ca="1" t="shared" si="179"/>
        <v/>
      </c>
      <c r="O3122" s="62">
        <f ca="1" t="shared" si="180"/>
        <v>0</v>
      </c>
      <c r="P3122" s="144">
        <f ca="1" t="shared" si="181"/>
        <v>58</v>
      </c>
      <c r="Q3122" s="29" t="str">
        <f>VLOOKUP(B3122,辅助信息!E:M,9,FALSE)</f>
        <v>ZTWM-CDGS-XS-2024-0179-四川商投-射洪城乡一体化建设项目</v>
      </c>
      <c r="R3122" s="145" t="str">
        <f>_xlfn._xlws.FILTER(辅助信息!D:D,辅助信息!E:E=B3122)</f>
        <v>四川商建
射洪城乡一体化项目</v>
      </c>
    </row>
    <row r="3123" hidden="1" spans="2:18">
      <c r="B3123" s="120" t="s">
        <v>81</v>
      </c>
      <c r="C3123" s="70">
        <v>45902</v>
      </c>
      <c r="D3123" s="120" t="str">
        <f>VLOOKUP(B3123,辅助信息!E:K,7,FALSE)</f>
        <v>JWDDCD2025060900080</v>
      </c>
      <c r="E3123" s="120" t="str">
        <f>VLOOKUP(F3123,辅助信息!A:B,2,FALSE)</f>
        <v>螺纹钢</v>
      </c>
      <c r="F3123" s="120" t="s">
        <v>19</v>
      </c>
      <c r="G3123" s="121">
        <f>222-54.75</f>
        <v>167.25</v>
      </c>
      <c r="H3123" s="134">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0" t="str">
        <f>VLOOKUP(B3123,辅助信息!E:I,3,FALSE)</f>
        <v>（华西简阳西城嘉苑）四川省成都市简阳市简城街道高屋村</v>
      </c>
      <c r="J3123" s="120" t="str">
        <f>VLOOKUP(B3123,辅助信息!E:I,4,FALSE)</f>
        <v>张瀚镭</v>
      </c>
      <c r="K3123" s="120">
        <f>VLOOKUP(J3123,辅助信息!H:I,2,FALSE)</f>
        <v>15884666220</v>
      </c>
      <c r="L3123" s="122" t="str">
        <f>VLOOKUP(B3123,辅助信息!E:J,6,FALSE)</f>
        <v>现场禁止使用氢能源挂车！优先威钢发货,我方卸车,新老国标钢厂不加价可直发，因陕钢多次出现磅差，项目拒绝使用</v>
      </c>
      <c r="M3123" s="91">
        <v>45902</v>
      </c>
      <c r="N3123" s="62" t="str">
        <f ca="1" t="shared" si="179"/>
        <v/>
      </c>
      <c r="O3123" s="62">
        <f ca="1" t="shared" si="180"/>
        <v>0</v>
      </c>
      <c r="P3123" s="144">
        <f ca="1" t="shared" si="181"/>
        <v>58</v>
      </c>
      <c r="Q3123" s="29" t="str">
        <f>VLOOKUP(B3123,辅助信息!E:M,9,FALSE)</f>
        <v>ZTWM-CDGS-XS-2024-0030-华西集采-简州大道</v>
      </c>
      <c r="R3123" s="145" t="str">
        <f>_xlfn._xlws.FILTER(辅助信息!D:D,辅助信息!E:E=B3123)</f>
        <v>华西简阳西城嘉苑</v>
      </c>
    </row>
    <row r="3124" hidden="1" spans="2:18">
      <c r="B3124" s="120" t="s">
        <v>81</v>
      </c>
      <c r="C3124" s="70">
        <v>45902</v>
      </c>
      <c r="D3124" s="120" t="str">
        <f>VLOOKUP(B3124,辅助信息!E:K,7,FALSE)</f>
        <v>JWDDCD2025060900080</v>
      </c>
      <c r="E3124" s="120" t="str">
        <f>VLOOKUP(F3124,辅助信息!A:B,2,FALSE)</f>
        <v>螺纹钢</v>
      </c>
      <c r="F3124" s="120" t="s">
        <v>30</v>
      </c>
      <c r="G3124" s="121">
        <v>27.5</v>
      </c>
      <c r="H3124" s="134">
        <f>IF(SUMIFS('[1]2025年已发货'!$E:$E,'[1]2025年已发货'!$F:$F,C3124,'[1]2025年已发货'!$C:$C,F3124,'[1]2025年已发货'!$G:$G,I3124,'[1]2025年已发货'!$H:$H,J3124)=0,"未发货",SUMIFS('[1]2025年已发货'!$E:$E,'[1]2025年已发货'!$F:$F,C3124,'[1]2025年已发货'!$C:$C,F3124,'[1]2025年已发货'!$G:$G,I3124,'[1]2025年已发货'!$H:$H,J3124))</f>
        <v>27.5</v>
      </c>
      <c r="I3124" s="120" t="str">
        <f>VLOOKUP(B3124,辅助信息!E:I,3,FALSE)</f>
        <v>（华西简阳西城嘉苑）四川省成都市简阳市简城街道高屋村</v>
      </c>
      <c r="J3124" s="120" t="str">
        <f>VLOOKUP(B3124,辅助信息!E:I,4,FALSE)</f>
        <v>张瀚镭</v>
      </c>
      <c r="K3124" s="120">
        <f>VLOOKUP(J3124,辅助信息!H:I,2,FALSE)</f>
        <v>15884666220</v>
      </c>
      <c r="L3124" s="122" t="str">
        <f>VLOOKUP(B3124,辅助信息!E:J,6,FALSE)</f>
        <v>现场禁止使用氢能源挂车！优先威钢发货,我方卸车,新老国标钢厂不加价可直发，因陕钢多次出现磅差，项目拒绝使用</v>
      </c>
      <c r="M3124" s="91">
        <v>45902</v>
      </c>
      <c r="N3124" s="62" t="str">
        <f ca="1" t="shared" si="179"/>
        <v/>
      </c>
      <c r="O3124" s="62">
        <f ca="1" t="shared" si="180"/>
        <v>0</v>
      </c>
      <c r="P3124" s="144">
        <f ca="1" t="shared" si="181"/>
        <v>58</v>
      </c>
      <c r="Q3124" s="29" t="str">
        <f>VLOOKUP(B3124,辅助信息!E:M,9,FALSE)</f>
        <v>ZTWM-CDGS-XS-2024-0030-华西集采-简州大道</v>
      </c>
      <c r="R3124" s="145" t="str">
        <f>_xlfn._xlws.FILTER(辅助信息!D:D,辅助信息!E:E=B3124)</f>
        <v>华西简阳西城嘉苑</v>
      </c>
    </row>
    <row r="3125" hidden="1" spans="2:18">
      <c r="B3125" s="40" t="s">
        <v>187</v>
      </c>
      <c r="C3125" s="70">
        <v>45902</v>
      </c>
      <c r="D3125" s="40" t="str">
        <f>VLOOKUP(B3125,辅助信息!E:K,7,FALSE)</f>
        <v>JWDDCD2025072900121</v>
      </c>
      <c r="E3125" s="40" t="str">
        <f>VLOOKUP(F3125,辅助信息!A:B,2,FALSE)</f>
        <v>螺纹钢</v>
      </c>
      <c r="F3125" s="40" t="s">
        <v>27</v>
      </c>
      <c r="G3125" s="36">
        <v>35</v>
      </c>
      <c r="H3125" s="134">
        <f>IF(SUMIFS('[1]2025年已发货'!$E:$E,'[1]2025年已发货'!$F:$F,C3125,'[1]2025年已发货'!$C:$C,F3125,'[1]2025年已发货'!$G:$G,I3125,'[1]2025年已发货'!$H:$H,J3125)=0,"未发货",SUMIFS('[1]2025年已发货'!$E:$E,'[1]2025年已发货'!$F:$F,C3125,'[1]2025年已发货'!$C:$C,F3125,'[1]2025年已发货'!$G:$G,I3125,'[1]2025年已发货'!$H:$H,J3125))</f>
        <v>35</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09" t="str">
        <f>VLOOKUP(B3125,辅助信息!E:J,6,FALSE)</f>
        <v>联系实际收货人（范增云13668153241）现场要求炉批号控制2个以下，超2个不给予签收。提前联系到场规格及数量</v>
      </c>
      <c r="M3125" s="91">
        <v>45903</v>
      </c>
      <c r="O3125" s="62">
        <f ca="1" t="shared" si="180"/>
        <v>0</v>
      </c>
      <c r="P3125" s="62">
        <f ca="1" t="shared" si="181"/>
        <v>57</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0">
        <v>45902</v>
      </c>
      <c r="D3126" s="40" t="str">
        <f>VLOOKUP(B3126,辅助信息!E:K,7,FALSE)</f>
        <v>JWDDCD2025072900121</v>
      </c>
      <c r="E3126" s="40" t="str">
        <f>VLOOKUP(F3126,辅助信息!A:B,2,FALSE)</f>
        <v>螺纹钢</v>
      </c>
      <c r="F3126" s="40" t="s">
        <v>66</v>
      </c>
      <c r="G3126" s="36">
        <v>8</v>
      </c>
      <c r="H3126" s="134">
        <f>IF(SUMIFS('[1]2025年已发货'!$E:$E,'[1]2025年已发货'!$F:$F,C3126,'[1]2025年已发货'!$C:$C,F3126,'[1]2025年已发货'!$G:$G,I3126,'[1]2025年已发货'!$H:$H,J3126)=0,"未发货",SUMIFS('[1]2025年已发货'!$E:$E,'[1]2025年已发货'!$F:$F,C3126,'[1]2025年已发货'!$C:$C,F3126,'[1]2025年已发货'!$G:$G,I3126,'[1]2025年已发货'!$H:$H,J3126))</f>
        <v>8</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09" t="str">
        <f>VLOOKUP(B3126,辅助信息!E:J,6,FALSE)</f>
        <v>联系实际收货人（范增云13668153241）现场要求炉批号控制2个以下，超2个不给予签收。提前联系到场规格及数量</v>
      </c>
      <c r="M3126" s="91">
        <v>45903</v>
      </c>
      <c r="O3126" s="62">
        <f ca="1" t="shared" si="180"/>
        <v>0</v>
      </c>
      <c r="P3126" s="62">
        <f ca="1" t="shared" si="181"/>
        <v>57</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0">
        <v>45902</v>
      </c>
      <c r="D3127" s="40" t="str">
        <f>VLOOKUP(B3127,辅助信息!E:K,7,FALSE)</f>
        <v>JWDDCD2025072900121</v>
      </c>
      <c r="E3127" s="40" t="str">
        <f>VLOOKUP(F3127,辅助信息!A:B,2,FALSE)</f>
        <v>螺纹钢</v>
      </c>
      <c r="F3127" s="40" t="s">
        <v>82</v>
      </c>
      <c r="G3127" s="36">
        <v>8</v>
      </c>
      <c r="H3127" s="134">
        <f>IF(SUMIFS('[1]2025年已发货'!$E:$E,'[1]2025年已发货'!$F:$F,C3127,'[1]2025年已发货'!$C:$C,F3127,'[1]2025年已发货'!$G:$G,I3127,'[1]2025年已发货'!$H:$H,J3127)=0,"未发货",SUMIFS('[1]2025年已发货'!$E:$E,'[1]2025年已发货'!$F:$F,C3127,'[1]2025年已发货'!$C:$C,F3127,'[1]2025年已发货'!$G:$G,I3127,'[1]2025年已发货'!$H:$H,J3127))</f>
        <v>8</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09" t="str">
        <f>VLOOKUP(B3127,辅助信息!E:J,6,FALSE)</f>
        <v>联系实际收货人（范增云13668153241）现场要求炉批号控制2个以下，超2个不给予签收。提前联系到场规格及数量</v>
      </c>
      <c r="M3127" s="91">
        <v>45903</v>
      </c>
      <c r="O3127" s="62">
        <f ca="1" t="shared" si="180"/>
        <v>0</v>
      </c>
      <c r="P3127" s="62">
        <f ca="1" t="shared" si="181"/>
        <v>57</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0">
        <v>45902</v>
      </c>
      <c r="D3128" s="40" t="str">
        <f>VLOOKUP(B3128,辅助信息!E:K,7,FALSE)</f>
        <v>JWDDCD2025072900121</v>
      </c>
      <c r="E3128" s="40" t="str">
        <f>VLOOKUP(F3128,辅助信息!A:B,2,FALSE)</f>
        <v>螺纹钢</v>
      </c>
      <c r="F3128" s="40" t="s">
        <v>45</v>
      </c>
      <c r="G3128" s="36">
        <v>8</v>
      </c>
      <c r="H3128" s="134">
        <f>IF(SUMIFS('[1]2025年已发货'!$E:$E,'[1]2025年已发货'!$F:$F,C3128,'[1]2025年已发货'!$C:$C,F3128,'[1]2025年已发货'!$G:$G,I3128,'[1]2025年已发货'!$H:$H,J3128)=0,"未发货",SUMIFS('[1]2025年已发货'!$E:$E,'[1]2025年已发货'!$F:$F,C3128,'[1]2025年已发货'!$C:$C,F3128,'[1]2025年已发货'!$G:$G,I3128,'[1]2025年已发货'!$H:$H,J3128))</f>
        <v>8</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09" t="str">
        <f>VLOOKUP(B3128,辅助信息!E:J,6,FALSE)</f>
        <v>联系实际收货人（范增云13668153241）现场要求炉批号控制2个以下，超2个不给予签收。提前联系到场规格及数量</v>
      </c>
      <c r="M3128" s="91">
        <v>45903</v>
      </c>
      <c r="O3128" s="62">
        <f ca="1" t="shared" si="180"/>
        <v>0</v>
      </c>
      <c r="P3128" s="62">
        <f ca="1" t="shared" si="181"/>
        <v>57</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0">
        <v>45902</v>
      </c>
      <c r="D3129" s="40" t="str">
        <f>VLOOKUP(B3129,辅助信息!E:K,7,FALSE)</f>
        <v>JWDDCD2025072900121</v>
      </c>
      <c r="E3129" s="40" t="str">
        <f>VLOOKUP(F3129,辅助信息!A:B,2,FALSE)</f>
        <v>螺纹钢</v>
      </c>
      <c r="F3129" s="40" t="s">
        <v>21</v>
      </c>
      <c r="G3129" s="36">
        <v>8</v>
      </c>
      <c r="H3129" s="134">
        <f>IF(SUMIFS('[1]2025年已发货'!$E:$E,'[1]2025年已发货'!$F:$F,C3129,'[1]2025年已发货'!$C:$C,F3129,'[1]2025年已发货'!$G:$G,I3129,'[1]2025年已发货'!$H:$H,J3129)=0,"未发货",SUMIFS('[1]2025年已发货'!$E:$E,'[1]2025年已发货'!$F:$F,C3129,'[1]2025年已发货'!$C:$C,F3129,'[1]2025年已发货'!$G:$G,I3129,'[1]2025年已发货'!$H:$H,J3129))</f>
        <v>8</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09" t="str">
        <f>VLOOKUP(B3129,辅助信息!E:J,6,FALSE)</f>
        <v>联系实际收货人（范增云13668153241）现场要求炉批号控制2个以下，超2个不给予签收。提前联系到场规格及数量</v>
      </c>
      <c r="M3129" s="91">
        <v>45903</v>
      </c>
      <c r="O3129" s="62">
        <f ca="1" t="shared" si="180"/>
        <v>0</v>
      </c>
      <c r="P3129" s="62">
        <f ca="1" t="shared" si="181"/>
        <v>57</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0">
        <v>45902</v>
      </c>
      <c r="D3130" s="40" t="str">
        <f>VLOOKUP(B3130,辅助信息!E:K,7,FALSE)</f>
        <v>JWDDCD2025072900121</v>
      </c>
      <c r="E3130" s="40" t="str">
        <f>VLOOKUP(F3130,辅助信息!A:B,2,FALSE)</f>
        <v>螺纹钢</v>
      </c>
      <c r="F3130" s="40" t="s">
        <v>58</v>
      </c>
      <c r="G3130" s="36">
        <v>11</v>
      </c>
      <c r="H3130" s="134">
        <f>IF(SUMIFS('[1]2025年已发货'!$E:$E,'[1]2025年已发货'!$F:$F,C3130,'[1]2025年已发货'!$C:$C,F3130,'[1]2025年已发货'!$G:$G,I3130,'[1]2025年已发货'!$H:$H,J3130)=0,"未发货",SUMIFS('[1]2025年已发货'!$E:$E,'[1]2025年已发货'!$F:$F,C3130,'[1]2025年已发货'!$C:$C,F3130,'[1]2025年已发货'!$G:$G,I3130,'[1]2025年已发货'!$H:$H,J3130))</f>
        <v>11</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09" t="str">
        <f>VLOOKUP(B3130,辅助信息!E:J,6,FALSE)</f>
        <v>联系实际收货人（范增云13668153241）现场要求炉批号控制2个以下，超2个不给予签收。提前联系到场规格及数量</v>
      </c>
      <c r="M3130" s="91">
        <v>45903</v>
      </c>
      <c r="O3130" s="62">
        <f ca="1" t="shared" si="180"/>
        <v>0</v>
      </c>
      <c r="P3130" s="62">
        <f ca="1" t="shared" si="181"/>
        <v>57</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0">
        <v>45902</v>
      </c>
      <c r="D3131" s="40" t="str">
        <f>VLOOKUP(B3131,辅助信息!E:K,7,FALSE)</f>
        <v>JWDDCD2025072900121</v>
      </c>
      <c r="E3131" s="40" t="str">
        <f>VLOOKUP(F3131,辅助信息!A:B,2,FALSE)</f>
        <v>螺纹钢</v>
      </c>
      <c r="F3131" s="40" t="s">
        <v>46</v>
      </c>
      <c r="G3131" s="36">
        <v>8</v>
      </c>
      <c r="H3131" s="134">
        <f>IF(SUMIFS('[1]2025年已发货'!$E:$E,'[1]2025年已发货'!$F:$F,C3131,'[1]2025年已发货'!$C:$C,F3131,'[1]2025年已发货'!$G:$G,I3131,'[1]2025年已发货'!$H:$H,J3131)=0,"未发货",SUMIFS('[1]2025年已发货'!$E:$E,'[1]2025年已发货'!$F:$F,C3131,'[1]2025年已发货'!$C:$C,F3131,'[1]2025年已发货'!$G:$G,I3131,'[1]2025年已发货'!$H:$H,J3131))</f>
        <v>8</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09" t="str">
        <f>VLOOKUP(B3131,辅助信息!E:J,6,FALSE)</f>
        <v>联系实际收货人（范增云13668153241）现场要求炉批号控制2个以下，超2个不给予签收。提前联系到场规格及数量</v>
      </c>
      <c r="M3131" s="91">
        <v>45903</v>
      </c>
      <c r="O3131" s="62">
        <f ca="1" t="shared" si="180"/>
        <v>0</v>
      </c>
      <c r="P3131" s="62">
        <f ca="1" t="shared" si="181"/>
        <v>57</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0">
        <v>45902</v>
      </c>
      <c r="D3132" s="40" t="str">
        <f>VLOOKUP(B3132,辅助信息!E:K,7,FALSE)</f>
        <v>JWDDCD2025072900121</v>
      </c>
      <c r="E3132" s="40" t="str">
        <f>VLOOKUP(F3132,辅助信息!A:B,2,FALSE)</f>
        <v>螺纹钢</v>
      </c>
      <c r="F3132" s="40" t="s">
        <v>22</v>
      </c>
      <c r="G3132" s="36">
        <v>11</v>
      </c>
      <c r="H3132" s="134">
        <f>IF(SUMIFS('[1]2025年已发货'!$E:$E,'[1]2025年已发货'!$F:$F,C3132,'[1]2025年已发货'!$C:$C,F3132,'[1]2025年已发货'!$G:$G,I3132,'[1]2025年已发货'!$H:$H,J3132)=0,"未发货",SUMIFS('[1]2025年已发货'!$E:$E,'[1]2025年已发货'!$F:$F,C3132,'[1]2025年已发货'!$C:$C,F3132,'[1]2025年已发货'!$G:$G,I3132,'[1]2025年已发货'!$H:$H,J3132))</f>
        <v>11</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09" t="str">
        <f>VLOOKUP(B3132,辅助信息!E:J,6,FALSE)</f>
        <v>联系实际收货人（范增云13668153241）现场要求炉批号控制2个以下，超2个不给予签收。提前联系到场规格及数量</v>
      </c>
      <c r="M3132" s="91">
        <v>45903</v>
      </c>
      <c r="O3132" s="62">
        <f ca="1" t="shared" si="180"/>
        <v>0</v>
      </c>
      <c r="P3132" s="62">
        <f ca="1" t="shared" si="181"/>
        <v>57</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0">
        <v>45902</v>
      </c>
      <c r="D3133" s="40" t="str">
        <f>VLOOKUP(B3133,辅助信息!E:K,7,FALSE)</f>
        <v>JWDDCD2025072900121</v>
      </c>
      <c r="E3133" s="40" t="str">
        <f>VLOOKUP(F3133,辅助信息!A:B,2,FALSE)</f>
        <v>螺纹钢</v>
      </c>
      <c r="F3133" s="40" t="s">
        <v>200</v>
      </c>
      <c r="G3133" s="36">
        <v>8</v>
      </c>
      <c r="H3133" s="134">
        <f>IF(SUMIFS('[1]2025年已发货'!$E:$E,'[1]2025年已发货'!$F:$F,C3133,'[1]2025年已发货'!$C:$C,F3133,'[1]2025年已发货'!$G:$G,I3133,'[1]2025年已发货'!$H:$H,J3133)=0,"未发货",SUMIFS('[1]2025年已发货'!$E:$E,'[1]2025年已发货'!$F:$F,C3133,'[1]2025年已发货'!$C:$C,F3133,'[1]2025年已发货'!$G:$G,I3133,'[1]2025年已发货'!$H:$H,J3133))</f>
        <v>8</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09" t="str">
        <f>VLOOKUP(B3133,辅助信息!E:J,6,FALSE)</f>
        <v>联系实际收货人（范增云13668153241）现场要求炉批号控制2个以下，超2个不给予签收。提前联系到场规格及数量</v>
      </c>
      <c r="M3133" s="91">
        <v>45903</v>
      </c>
      <c r="O3133" s="62">
        <f ca="1" t="shared" si="180"/>
        <v>0</v>
      </c>
      <c r="P3133" s="62">
        <f ca="1" t="shared" si="181"/>
        <v>57</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0">
        <v>45902</v>
      </c>
      <c r="D3134" s="40" t="str">
        <f>VLOOKUP(B3134,辅助信息!E:K,7,FALSE)</f>
        <v>JWDDCD2025052800131</v>
      </c>
      <c r="E3134" s="40" t="str">
        <f>VLOOKUP(F3134,辅助信息!A:B,2,FALSE)</f>
        <v>盘螺</v>
      </c>
      <c r="F3134" s="40" t="s">
        <v>40</v>
      </c>
      <c r="G3134" s="36">
        <v>10</v>
      </c>
      <c r="H3134" s="134"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09" t="str">
        <f>VLOOKUP(B3134,辅助信息!E:J,6,FALSE)</f>
        <v>控制炉批号！多了现场不收！,优先安排达钢,提前联系到场规格及数量</v>
      </c>
      <c r="M3134" s="91">
        <v>45903</v>
      </c>
      <c r="O3134" s="62">
        <f ca="1" t="shared" si="180"/>
        <v>0</v>
      </c>
      <c r="P3134" s="62">
        <f ca="1" t="shared" si="181"/>
        <v>57</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0">
        <v>45902</v>
      </c>
      <c r="D3135" s="40" t="str">
        <f>VLOOKUP(B3135,辅助信息!E:K,7,FALSE)</f>
        <v>JWDDCD2025052800131</v>
      </c>
      <c r="E3135" s="40" t="str">
        <f>VLOOKUP(F3135,辅助信息!A:B,2,FALSE)</f>
        <v>螺纹钢</v>
      </c>
      <c r="F3135" s="40" t="s">
        <v>58</v>
      </c>
      <c r="G3135" s="36">
        <v>12</v>
      </c>
      <c r="H3135" s="134"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09" t="str">
        <f>VLOOKUP(B3135,辅助信息!E:J,6,FALSE)</f>
        <v>控制炉批号！多了现场不收！,优先安排达钢,提前联系到场规格及数量</v>
      </c>
      <c r="M3135" s="91">
        <v>45903</v>
      </c>
      <c r="O3135" s="62">
        <f ca="1" t="shared" si="180"/>
        <v>0</v>
      </c>
      <c r="P3135" s="62">
        <f ca="1" t="shared" si="181"/>
        <v>57</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0">
        <v>45902</v>
      </c>
      <c r="D3136" s="40" t="str">
        <f>VLOOKUP(B3136,辅助信息!E:K,7,FALSE)</f>
        <v>JWDDCD2025052800131</v>
      </c>
      <c r="E3136" s="40" t="str">
        <f>VLOOKUP(F3136,辅助信息!A:B,2,FALSE)</f>
        <v>螺纹钢</v>
      </c>
      <c r="F3136" s="40" t="s">
        <v>22</v>
      </c>
      <c r="G3136" s="36">
        <v>13</v>
      </c>
      <c r="H3136" s="134"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09" t="str">
        <f>VLOOKUP(B3136,辅助信息!E:J,6,FALSE)</f>
        <v>控制炉批号！多了现场不收！,优先安排达钢,提前联系到场规格及数量</v>
      </c>
      <c r="M3136" s="91">
        <v>45903</v>
      </c>
      <c r="O3136" s="62">
        <f ca="1" t="shared" si="180"/>
        <v>0</v>
      </c>
      <c r="P3136" s="62">
        <f ca="1" t="shared" si="181"/>
        <v>57</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0">
        <v>45902</v>
      </c>
      <c r="D3137" s="40" t="str">
        <f>VLOOKUP(B3137,辅助信息!E:K,7,FALSE)</f>
        <v>JWDDCD2025052800131</v>
      </c>
      <c r="E3137" s="40" t="str">
        <f>VLOOKUP(F3137,辅助信息!A:B,2,FALSE)</f>
        <v>盘螺</v>
      </c>
      <c r="F3137" s="40" t="s">
        <v>40</v>
      </c>
      <c r="G3137" s="36">
        <v>15</v>
      </c>
      <c r="H3137" s="134"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09" t="str">
        <f>VLOOKUP(B3137,辅助信息!E:J,6,FALSE)</f>
        <v>控制炉批号！多了现场不收！,优先安排达钢,提前联系到场规格及数量</v>
      </c>
      <c r="M3137" s="91">
        <v>45903</v>
      </c>
      <c r="O3137" s="62">
        <f ca="1" t="shared" si="180"/>
        <v>0</v>
      </c>
      <c r="P3137" s="62">
        <f ca="1" t="shared" si="181"/>
        <v>57</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0">
        <v>45902</v>
      </c>
      <c r="D3138" s="40" t="str">
        <f>VLOOKUP(B3138,辅助信息!E:K,7,FALSE)</f>
        <v>JWDDCD2025052800131</v>
      </c>
      <c r="E3138" s="40" t="str">
        <f>VLOOKUP(F3138,辅助信息!A:B,2,FALSE)</f>
        <v>螺纹钢</v>
      </c>
      <c r="F3138" s="40" t="s">
        <v>33</v>
      </c>
      <c r="G3138" s="36">
        <v>10</v>
      </c>
      <c r="H3138" s="134"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09" t="str">
        <f>VLOOKUP(B3138,辅助信息!E:J,6,FALSE)</f>
        <v>控制炉批号！多了现场不收！,优先安排达钢,提前联系到场规格及数量</v>
      </c>
      <c r="M3138" s="91">
        <v>45903</v>
      </c>
      <c r="O3138" s="62">
        <f ca="1" t="shared" si="180"/>
        <v>0</v>
      </c>
      <c r="P3138" s="62">
        <f ca="1" t="shared" si="181"/>
        <v>57</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0">
        <v>45902</v>
      </c>
      <c r="D3139" s="40" t="str">
        <f>VLOOKUP(B3139,辅助信息!E:K,7,FALSE)</f>
        <v>JWDDCD2025052800131</v>
      </c>
      <c r="E3139" s="40" t="str">
        <f>VLOOKUP(F3139,辅助信息!A:B,2,FALSE)</f>
        <v>螺纹钢</v>
      </c>
      <c r="F3139" s="40" t="s">
        <v>18</v>
      </c>
      <c r="G3139" s="36">
        <v>10</v>
      </c>
      <c r="H3139" s="134"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09" t="str">
        <f>VLOOKUP(B3139,辅助信息!E:J,6,FALSE)</f>
        <v>控制炉批号！多了现场不收！,优先安排达钢,提前联系到场规格及数量</v>
      </c>
      <c r="M3139" s="91">
        <v>45903</v>
      </c>
      <c r="O3139" s="62">
        <f ca="1" t="shared" si="180"/>
        <v>0</v>
      </c>
      <c r="P3139" s="62">
        <f ca="1" t="shared" si="181"/>
        <v>57</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2" t="s">
        <v>212</v>
      </c>
      <c r="B3140" s="40" t="s">
        <v>167</v>
      </c>
      <c r="C3140" s="70">
        <v>45902</v>
      </c>
      <c r="D3140" s="40" t="str">
        <f>VLOOKUP(B3140,辅助信息!E:K,7,FALSE)</f>
        <v>JWDDCD2025102100473</v>
      </c>
      <c r="E3140" s="40" t="str">
        <f>VLOOKUP(F3140,辅助信息!A:B,2,FALSE)</f>
        <v>盘螺</v>
      </c>
      <c r="F3140" s="40" t="s">
        <v>40</v>
      </c>
      <c r="G3140" s="36">
        <v>24</v>
      </c>
      <c r="H3140" s="134">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09"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1">
        <v>45904</v>
      </c>
      <c r="O3140" s="62">
        <f ca="1" t="shared" si="180"/>
        <v>0</v>
      </c>
      <c r="P3140" s="62">
        <f ca="1" t="shared" si="181"/>
        <v>56</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2"/>
      <c r="B3141" s="40" t="s">
        <v>167</v>
      </c>
      <c r="C3141" s="70">
        <v>45902</v>
      </c>
      <c r="D3141" s="40" t="str">
        <f>VLOOKUP(B3141,辅助信息!E:K,7,FALSE)</f>
        <v>JWDDCD2025102100473</v>
      </c>
      <c r="E3141" s="40" t="str">
        <f>VLOOKUP(F3141,辅助信息!A:B,2,FALSE)</f>
        <v>盘螺</v>
      </c>
      <c r="F3141" s="40" t="s">
        <v>41</v>
      </c>
      <c r="G3141" s="36">
        <v>10</v>
      </c>
      <c r="H3141" s="134">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09"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1">
        <v>45904</v>
      </c>
      <c r="O3141" s="62">
        <f ca="1" t="shared" si="180"/>
        <v>0</v>
      </c>
      <c r="P3141" s="62">
        <f ca="1" t="shared" si="181"/>
        <v>56</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2"/>
      <c r="B3142" s="40" t="s">
        <v>167</v>
      </c>
      <c r="C3142" s="70">
        <v>45902</v>
      </c>
      <c r="D3142" s="40" t="str">
        <f>VLOOKUP(B3142,辅助信息!E:K,7,FALSE)</f>
        <v>JWDDCD2025102100473</v>
      </c>
      <c r="E3142" s="40" t="str">
        <f>VLOOKUP(F3142,辅助信息!A:B,2,FALSE)</f>
        <v>螺纹钢</v>
      </c>
      <c r="F3142" s="40" t="s">
        <v>27</v>
      </c>
      <c r="G3142" s="36">
        <v>35</v>
      </c>
      <c r="H3142" s="134">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09"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1">
        <v>45904</v>
      </c>
      <c r="O3142" s="62">
        <f ca="1" t="shared" si="180"/>
        <v>0</v>
      </c>
      <c r="P3142" s="62">
        <f ca="1" t="shared" si="181"/>
        <v>56</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2"/>
      <c r="B3143" s="40" t="s">
        <v>167</v>
      </c>
      <c r="C3143" s="70">
        <v>45902</v>
      </c>
      <c r="D3143" s="40" t="str">
        <f>VLOOKUP(B3143,辅助信息!E:K,7,FALSE)</f>
        <v>JWDDCD2025102100473</v>
      </c>
      <c r="E3143" s="40" t="str">
        <f>VLOOKUP(F3143,辅助信息!A:B,2,FALSE)</f>
        <v>螺纹钢</v>
      </c>
      <c r="F3143" s="40" t="s">
        <v>45</v>
      </c>
      <c r="G3143" s="36">
        <v>6</v>
      </c>
      <c r="H3143" s="134">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09"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1">
        <v>45904</v>
      </c>
      <c r="O3143" s="62">
        <f ca="1" t="shared" si="180"/>
        <v>0</v>
      </c>
      <c r="P3143" s="62">
        <f ca="1" t="shared" si="181"/>
        <v>56</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2"/>
      <c r="B3144" s="40" t="s">
        <v>167</v>
      </c>
      <c r="C3144" s="70">
        <v>45902</v>
      </c>
      <c r="D3144" s="40" t="str">
        <f>VLOOKUP(B3144,辅助信息!E:K,7,FALSE)</f>
        <v>JWDDCD2025102100473</v>
      </c>
      <c r="E3144" s="40" t="str">
        <f>VLOOKUP(F3144,辅助信息!A:B,2,FALSE)</f>
        <v>螺纹钢</v>
      </c>
      <c r="F3144" s="40" t="s">
        <v>21</v>
      </c>
      <c r="G3144" s="36">
        <v>6</v>
      </c>
      <c r="H3144" s="134">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09"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1">
        <v>45904</v>
      </c>
      <c r="O3144" s="62">
        <f ca="1" t="shared" si="180"/>
        <v>0</v>
      </c>
      <c r="P3144" s="62">
        <f ca="1" t="shared" si="181"/>
        <v>56</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2"/>
      <c r="B3145" s="40" t="s">
        <v>167</v>
      </c>
      <c r="C3145" s="70">
        <v>45902</v>
      </c>
      <c r="D3145" s="40" t="str">
        <f>VLOOKUP(B3145,辅助信息!E:K,7,FALSE)</f>
        <v>JWDDCD2025102100473</v>
      </c>
      <c r="E3145" s="40" t="str">
        <f>VLOOKUP(F3145,辅助信息!A:B,2,FALSE)</f>
        <v>螺纹钢</v>
      </c>
      <c r="F3145" s="40" t="s">
        <v>58</v>
      </c>
      <c r="G3145" s="36">
        <v>12</v>
      </c>
      <c r="H3145" s="134">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09"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1">
        <v>45904</v>
      </c>
      <c r="O3145" s="62">
        <f ca="1" t="shared" si="180"/>
        <v>0</v>
      </c>
      <c r="P3145" s="62">
        <f ca="1" t="shared" si="181"/>
        <v>56</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2"/>
      <c r="B3146" s="40" t="s">
        <v>167</v>
      </c>
      <c r="C3146" s="70">
        <v>45902</v>
      </c>
      <c r="D3146" s="40" t="str">
        <f>VLOOKUP(B3146,辅助信息!E:K,7,FALSE)</f>
        <v>JWDDCD2025102100473</v>
      </c>
      <c r="E3146" s="40" t="str">
        <f>VLOOKUP(F3146,辅助信息!A:B,2,FALSE)</f>
        <v>螺纹钢</v>
      </c>
      <c r="F3146" s="40" t="s">
        <v>46</v>
      </c>
      <c r="G3146" s="36">
        <v>12</v>
      </c>
      <c r="H3146" s="134">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09"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1">
        <v>45904</v>
      </c>
      <c r="O3146" s="62">
        <f ca="1" t="shared" si="180"/>
        <v>0</v>
      </c>
      <c r="P3146" s="62">
        <f ca="1" t="shared" si="181"/>
        <v>56</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0">
        <v>45902</v>
      </c>
      <c r="D3147" s="40" t="str">
        <f>VLOOKUP(B3147,辅助信息!E:K,7,FALSE)</f>
        <v>JWDDCD2025052800131</v>
      </c>
      <c r="E3147" s="40" t="str">
        <f>VLOOKUP(F3147,辅助信息!A:B,2,FALSE)</f>
        <v>盘螺</v>
      </c>
      <c r="F3147" s="40" t="s">
        <v>49</v>
      </c>
      <c r="G3147" s="36">
        <v>5</v>
      </c>
      <c r="H3147" s="134"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09" t="str">
        <f>VLOOKUP(B3147,辅助信息!E:J,6,FALSE)</f>
        <v>控制炉批号！多了现场不收！,优先安排达钢,提前联系到场规格及数量</v>
      </c>
      <c r="M3147" s="91">
        <v>45904</v>
      </c>
      <c r="O3147" s="62">
        <f ca="1" t="shared" si="180"/>
        <v>0</v>
      </c>
      <c r="P3147" s="62">
        <f ca="1" t="shared" si="181"/>
        <v>56</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0">
        <v>45902</v>
      </c>
      <c r="D3148" s="40" t="str">
        <f>VLOOKUP(B3148,辅助信息!E:K,7,FALSE)</f>
        <v>JWDDCD2025052800131</v>
      </c>
      <c r="E3148" s="40" t="str">
        <f>VLOOKUP(F3148,辅助信息!A:B,2,FALSE)</f>
        <v>盘螺</v>
      </c>
      <c r="F3148" s="40" t="s">
        <v>40</v>
      </c>
      <c r="G3148" s="36">
        <v>24</v>
      </c>
      <c r="H3148" s="134"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09" t="str">
        <f>VLOOKUP(B3148,辅助信息!E:J,6,FALSE)</f>
        <v>控制炉批号！多了现场不收！,优先安排达钢,提前联系到场规格及数量</v>
      </c>
      <c r="M3148" s="91">
        <v>45904</v>
      </c>
      <c r="O3148" s="62">
        <f ca="1" t="shared" si="180"/>
        <v>0</v>
      </c>
      <c r="P3148" s="62">
        <f ca="1" t="shared" si="181"/>
        <v>56</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0">
        <v>45902</v>
      </c>
      <c r="D3149" s="40" t="str">
        <f>VLOOKUP(B3149,辅助信息!E:K,7,FALSE)</f>
        <v>JWDDCD2025052800131</v>
      </c>
      <c r="E3149" s="40" t="str">
        <f>VLOOKUP(F3149,辅助信息!A:B,2,FALSE)</f>
        <v>盘螺</v>
      </c>
      <c r="F3149" s="40" t="s">
        <v>41</v>
      </c>
      <c r="G3149" s="36">
        <v>7.5</v>
      </c>
      <c r="H3149" s="134"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09" t="str">
        <f>VLOOKUP(B3149,辅助信息!E:J,6,FALSE)</f>
        <v>控制炉批号！多了现场不收！,优先安排达钢,提前联系到场规格及数量</v>
      </c>
      <c r="M3149" s="91">
        <v>45904</v>
      </c>
      <c r="O3149" s="62">
        <f ca="1" t="shared" si="180"/>
        <v>0</v>
      </c>
      <c r="P3149" s="62">
        <f ca="1" t="shared" si="181"/>
        <v>56</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2" t="s">
        <v>213</v>
      </c>
      <c r="B3150" s="40" t="s">
        <v>147</v>
      </c>
      <c r="C3150" s="70">
        <v>45902</v>
      </c>
      <c r="D3150" s="40" t="str">
        <f>VLOOKUP(B3150,辅助信息!E:K,7,FALSE)</f>
        <v>JWDDCD2025052800131</v>
      </c>
      <c r="E3150" s="40" t="str">
        <f>VLOOKUP(F3150,辅助信息!A:B,2,FALSE)</f>
        <v>螺纹钢</v>
      </c>
      <c r="F3150" s="135" t="s">
        <v>27</v>
      </c>
      <c r="G3150" s="36">
        <v>9</v>
      </c>
      <c r="H3150" s="134"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09" t="str">
        <f>VLOOKUP(B3150,辅助信息!E:J,6,FALSE)</f>
        <v>控制炉批号！多了现场不收！,优先安排达钢,提前联系到场规格及数量</v>
      </c>
      <c r="M3150" s="91">
        <v>45904</v>
      </c>
      <c r="O3150" s="62">
        <f ca="1" t="shared" si="180"/>
        <v>0</v>
      </c>
      <c r="P3150" s="62">
        <f ca="1" t="shared" si="181"/>
        <v>56</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2"/>
      <c r="B3151" s="40" t="s">
        <v>147</v>
      </c>
      <c r="C3151" s="70">
        <v>45902</v>
      </c>
      <c r="D3151" s="40" t="str">
        <f>VLOOKUP(B3151,辅助信息!E:K,7,FALSE)</f>
        <v>JWDDCD2025052800131</v>
      </c>
      <c r="E3151" s="40" t="str">
        <f>VLOOKUP(F3151,辅助信息!A:B,2,FALSE)</f>
        <v>盘螺</v>
      </c>
      <c r="F3151" s="40" t="s">
        <v>40</v>
      </c>
      <c r="G3151" s="36">
        <v>15</v>
      </c>
      <c r="H3151" s="134"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09" t="str">
        <f>VLOOKUP(B3151,辅助信息!E:J,6,FALSE)</f>
        <v>控制炉批号！多了现场不收！,优先安排达钢,提前联系到场规格及数量</v>
      </c>
      <c r="M3151" s="91">
        <v>45904</v>
      </c>
      <c r="O3151" s="62">
        <f ca="1" t="shared" si="180"/>
        <v>0</v>
      </c>
      <c r="P3151" s="62">
        <f ca="1" t="shared" si="181"/>
        <v>56</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2"/>
      <c r="B3152" s="40" t="s">
        <v>147</v>
      </c>
      <c r="C3152" s="70">
        <v>45902</v>
      </c>
      <c r="D3152" s="40" t="str">
        <f>VLOOKUP(B3152,辅助信息!E:K,7,FALSE)</f>
        <v>JWDDCD2025052800131</v>
      </c>
      <c r="E3152" s="40" t="str">
        <f>VLOOKUP(F3152,辅助信息!A:B,2,FALSE)</f>
        <v>螺纹钢</v>
      </c>
      <c r="F3152" s="40" t="s">
        <v>58</v>
      </c>
      <c r="G3152" s="36">
        <v>12</v>
      </c>
      <c r="H3152" s="134"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09" t="str">
        <f>VLOOKUP(B3152,辅助信息!E:J,6,FALSE)</f>
        <v>控制炉批号！多了现场不收！,优先安排达钢,提前联系到场规格及数量</v>
      </c>
      <c r="M3152" s="91">
        <v>45904</v>
      </c>
      <c r="O3152" s="62">
        <f ca="1" t="shared" si="180"/>
        <v>0</v>
      </c>
      <c r="P3152" s="62">
        <f ca="1" t="shared" si="181"/>
        <v>56</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2"/>
      <c r="B3153" s="40" t="s">
        <v>147</v>
      </c>
      <c r="C3153" s="70">
        <v>45902</v>
      </c>
      <c r="D3153" s="40" t="str">
        <f>VLOOKUP(B3153,辅助信息!E:K,7,FALSE)</f>
        <v>JWDDCD2025052800131</v>
      </c>
      <c r="E3153" s="40" t="str">
        <f>VLOOKUP(F3153,辅助信息!A:B,2,FALSE)</f>
        <v>螺纹钢</v>
      </c>
      <c r="F3153" s="40" t="s">
        <v>46</v>
      </c>
      <c r="G3153" s="36">
        <v>9</v>
      </c>
      <c r="H3153" s="134"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09" t="str">
        <f>VLOOKUP(B3153,辅助信息!E:J,6,FALSE)</f>
        <v>控制炉批号！多了现场不收！,优先安排达钢,提前联系到场规格及数量</v>
      </c>
      <c r="M3153" s="91">
        <v>45904</v>
      </c>
      <c r="O3153" s="62">
        <f ca="1" t="shared" si="180"/>
        <v>0</v>
      </c>
      <c r="P3153" s="62">
        <f ca="1" t="shared" si="181"/>
        <v>56</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2"/>
      <c r="B3154" s="40" t="s">
        <v>147</v>
      </c>
      <c r="C3154" s="70">
        <v>45902</v>
      </c>
      <c r="D3154" s="40" t="str">
        <f>VLOOKUP(B3154,辅助信息!E:K,7,FALSE)</f>
        <v>JWDDCD2025052800131</v>
      </c>
      <c r="E3154" s="40" t="str">
        <f>VLOOKUP(F3154,辅助信息!A:B,2,FALSE)</f>
        <v>螺纹钢</v>
      </c>
      <c r="F3154" s="40" t="s">
        <v>22</v>
      </c>
      <c r="G3154" s="36">
        <v>9</v>
      </c>
      <c r="H3154" s="134"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09" t="str">
        <f>VLOOKUP(B3154,辅助信息!E:J,6,FALSE)</f>
        <v>控制炉批号！多了现场不收！,优先安排达钢,提前联系到场规格及数量</v>
      </c>
      <c r="M3154" s="91">
        <v>45904</v>
      </c>
      <c r="O3154" s="62">
        <f ca="1" t="shared" si="180"/>
        <v>0</v>
      </c>
      <c r="P3154" s="62">
        <f ca="1" t="shared" si="181"/>
        <v>56</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1" t="s">
        <v>100</v>
      </c>
      <c r="B3155" s="40" t="s">
        <v>147</v>
      </c>
      <c r="C3155" s="70">
        <v>45902</v>
      </c>
      <c r="D3155" s="40" t="str">
        <f>VLOOKUP(B3155,辅助信息!E:K,7,FALSE)</f>
        <v>JWDDCD2025052800131</v>
      </c>
      <c r="E3155" s="40" t="str">
        <f>VLOOKUP(F3155,辅助信息!A:B,2,FALSE)</f>
        <v>螺纹钢</v>
      </c>
      <c r="F3155" s="40" t="s">
        <v>30</v>
      </c>
      <c r="G3155" s="36">
        <v>15</v>
      </c>
      <c r="H3155" s="134"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09" t="str">
        <f>VLOOKUP(B3155,辅助信息!E:J,6,FALSE)</f>
        <v>控制炉批号！多了现场不收！,优先安排达钢,提前联系到场规格及数量</v>
      </c>
      <c r="M3155" s="91">
        <v>45903</v>
      </c>
      <c r="O3155" s="62">
        <f ca="1" t="shared" si="180"/>
        <v>0</v>
      </c>
      <c r="P3155" s="62">
        <f ca="1" t="shared" si="181"/>
        <v>57</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1"/>
      <c r="B3156" s="40" t="s">
        <v>147</v>
      </c>
      <c r="C3156" s="70">
        <v>45902</v>
      </c>
      <c r="D3156" s="40" t="str">
        <f>VLOOKUP(B3156,辅助信息!E:K,7,FALSE)</f>
        <v>JWDDCD2025052800131</v>
      </c>
      <c r="E3156" s="40" t="str">
        <f>VLOOKUP(F3156,辅助信息!A:B,2,FALSE)</f>
        <v>螺纹钢</v>
      </c>
      <c r="F3156" s="40" t="s">
        <v>21</v>
      </c>
      <c r="G3156" s="36">
        <v>20</v>
      </c>
      <c r="H3156" s="134"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09" t="str">
        <f>VLOOKUP(B3156,辅助信息!E:J,6,FALSE)</f>
        <v>控制炉批号！多了现场不收！,优先安排达钢,提前联系到场规格及数量</v>
      </c>
      <c r="M3156" s="91">
        <v>45903</v>
      </c>
      <c r="O3156" s="62">
        <f ca="1" t="shared" si="180"/>
        <v>0</v>
      </c>
      <c r="P3156" s="62">
        <f ca="1" t="shared" si="181"/>
        <v>57</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1"/>
      <c r="B3157" s="40" t="s">
        <v>180</v>
      </c>
      <c r="C3157" s="70">
        <v>45902</v>
      </c>
      <c r="D3157" s="40" t="str">
        <f>VLOOKUP(B3157,辅助信息!E:K,7,FALSE)</f>
        <v>JWDDCD2025052800131</v>
      </c>
      <c r="E3157" s="40" t="str">
        <f>VLOOKUP(F3157,辅助信息!A:B,2,FALSE)</f>
        <v>螺纹钢</v>
      </c>
      <c r="F3157" s="40" t="s">
        <v>30</v>
      </c>
      <c r="G3157" s="36">
        <v>20</v>
      </c>
      <c r="H3157" s="134"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09" t="str">
        <f>VLOOKUP(B3157,辅助信息!E:J,6,FALSE)</f>
        <v>控制炉批号！多了现场不收！,优先安排达钢,提前联系到场规格及数量</v>
      </c>
      <c r="M3157" s="91">
        <v>45903</v>
      </c>
      <c r="O3157" s="62">
        <f ca="1" t="shared" si="180"/>
        <v>0</v>
      </c>
      <c r="P3157" s="62">
        <f ca="1" t="shared" si="181"/>
        <v>57</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1"/>
      <c r="B3158" s="40" t="s">
        <v>180</v>
      </c>
      <c r="C3158" s="70">
        <v>45902</v>
      </c>
      <c r="D3158" s="40" t="str">
        <f>VLOOKUP(B3158,辅助信息!E:K,7,FALSE)</f>
        <v>JWDDCD2025052800131</v>
      </c>
      <c r="E3158" s="40" t="str">
        <f>VLOOKUP(F3158,辅助信息!A:B,2,FALSE)</f>
        <v>螺纹钢</v>
      </c>
      <c r="F3158" s="40" t="s">
        <v>21</v>
      </c>
      <c r="G3158" s="36">
        <v>15</v>
      </c>
      <c r="H3158" s="134"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09" t="str">
        <f>VLOOKUP(B3158,辅助信息!E:J,6,FALSE)</f>
        <v>控制炉批号！多了现场不收！,优先安排达钢,提前联系到场规格及数量</v>
      </c>
      <c r="M3158" s="91">
        <v>45903</v>
      </c>
      <c r="O3158" s="62">
        <f ca="1" t="shared" si="180"/>
        <v>0</v>
      </c>
      <c r="P3158" s="62">
        <f ca="1" t="shared" si="181"/>
        <v>57</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0">
        <v>45902</v>
      </c>
      <c r="D3159" s="40" t="str">
        <f>VLOOKUP(B3159,辅助信息!E:K,7,FALSE)</f>
        <v>JWDDCD2025071500024</v>
      </c>
      <c r="E3159" s="40" t="str">
        <f>VLOOKUP(F3159,辅助信息!A:B,2,FALSE)</f>
        <v>盘螺</v>
      </c>
      <c r="F3159" s="40" t="s">
        <v>49</v>
      </c>
      <c r="G3159" s="36">
        <v>7.5</v>
      </c>
      <c r="H3159" s="134"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09" t="str">
        <f>VLOOKUP(B3159,辅助信息!E:J,6,FALSE)</f>
        <v>炉批号尽可能不要多</v>
      </c>
      <c r="M3159" s="91">
        <v>45906</v>
      </c>
      <c r="O3159" s="62">
        <f ca="1" t="shared" si="180"/>
        <v>0</v>
      </c>
      <c r="P3159" s="62">
        <f ca="1" t="shared" si="181"/>
        <v>54</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0">
        <v>45902</v>
      </c>
      <c r="D3160" s="40" t="str">
        <f>VLOOKUP(B3160,辅助信息!E:K,7,FALSE)</f>
        <v>JWDDCD2025071500024</v>
      </c>
      <c r="E3160" s="40" t="str">
        <f>VLOOKUP(F3160,辅助信息!A:B,2,FALSE)</f>
        <v>盘螺</v>
      </c>
      <c r="F3160" s="40" t="s">
        <v>40</v>
      </c>
      <c r="G3160" s="36">
        <v>55</v>
      </c>
      <c r="H3160" s="134"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09" t="str">
        <f>VLOOKUP(B3160,辅助信息!E:J,6,FALSE)</f>
        <v>炉批号尽可能不要多</v>
      </c>
      <c r="M3160" s="91">
        <v>45906</v>
      </c>
      <c r="O3160" s="62">
        <f ca="1" t="shared" si="180"/>
        <v>0</v>
      </c>
      <c r="P3160" s="62">
        <f ca="1" t="shared" si="181"/>
        <v>54</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0">
        <v>45902</v>
      </c>
      <c r="D3161" s="40" t="str">
        <f>VLOOKUP(B3161,辅助信息!E:K,7,FALSE)</f>
        <v>JWDDCD2025071500024</v>
      </c>
      <c r="E3161" s="40" t="str">
        <f>VLOOKUP(F3161,辅助信息!A:B,2,FALSE)</f>
        <v>盘螺</v>
      </c>
      <c r="F3161" s="40" t="s">
        <v>41</v>
      </c>
      <c r="G3161" s="36">
        <v>17.5</v>
      </c>
      <c r="H3161" s="134"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09" t="str">
        <f>VLOOKUP(B3161,辅助信息!E:J,6,FALSE)</f>
        <v>炉批号尽可能不要多</v>
      </c>
      <c r="M3161" s="91">
        <v>45906</v>
      </c>
      <c r="O3161" s="62">
        <f ca="1" t="shared" si="180"/>
        <v>0</v>
      </c>
      <c r="P3161" s="62">
        <f ca="1" t="shared" si="181"/>
        <v>54</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0">
        <v>45902</v>
      </c>
      <c r="D3162" s="40" t="str">
        <f>VLOOKUP(B3162,辅助信息!E:K,7,FALSE)</f>
        <v>JWDDCD2025071500024</v>
      </c>
      <c r="E3162" s="40" t="str">
        <f>VLOOKUP(F3162,辅助信息!A:B,2,FALSE)</f>
        <v>盘螺</v>
      </c>
      <c r="F3162" s="40" t="s">
        <v>26</v>
      </c>
      <c r="G3162" s="36">
        <v>15</v>
      </c>
      <c r="H3162" s="134"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09" t="str">
        <f>VLOOKUP(B3162,辅助信息!E:J,6,FALSE)</f>
        <v>炉批号尽可能不要多</v>
      </c>
      <c r="M3162" s="91">
        <v>45906</v>
      </c>
      <c r="O3162" s="62">
        <f ca="1" t="shared" si="180"/>
        <v>0</v>
      </c>
      <c r="P3162" s="62">
        <f ca="1" t="shared" si="181"/>
        <v>54</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0">
        <v>45902</v>
      </c>
      <c r="D3163" s="40" t="str">
        <f>VLOOKUP(B3163,辅助信息!E:K,7,FALSE)</f>
        <v>JWDDCD2025071500024</v>
      </c>
      <c r="E3163" s="40" t="str">
        <f>VLOOKUP(F3163,辅助信息!A:B,2,FALSE)</f>
        <v>螺纹钢</v>
      </c>
      <c r="F3163" s="40" t="s">
        <v>19</v>
      </c>
      <c r="G3163" s="36">
        <v>3</v>
      </c>
      <c r="H3163" s="134"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09" t="str">
        <f>VLOOKUP(B3163,辅助信息!E:J,6,FALSE)</f>
        <v>炉批号尽可能不要多</v>
      </c>
      <c r="M3163" s="91">
        <v>45906</v>
      </c>
      <c r="O3163" s="62">
        <f ca="1" t="shared" si="180"/>
        <v>0</v>
      </c>
      <c r="P3163" s="62">
        <f ca="1" t="shared" si="181"/>
        <v>54</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0">
        <v>45902</v>
      </c>
      <c r="D3164" s="40" t="str">
        <f>VLOOKUP(B3164,辅助信息!E:K,7,FALSE)</f>
        <v>JWDDCD2025071500024</v>
      </c>
      <c r="E3164" s="40" t="str">
        <f>VLOOKUP(F3164,辅助信息!A:B,2,FALSE)</f>
        <v>螺纹钢</v>
      </c>
      <c r="F3164" s="40" t="s">
        <v>32</v>
      </c>
      <c r="G3164" s="36">
        <v>12</v>
      </c>
      <c r="H3164" s="134"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09" t="str">
        <f>VLOOKUP(B3164,辅助信息!E:J,6,FALSE)</f>
        <v>炉批号尽可能不要多</v>
      </c>
      <c r="M3164" s="91">
        <v>45906</v>
      </c>
      <c r="O3164" s="62">
        <f ca="1" t="shared" si="180"/>
        <v>0</v>
      </c>
      <c r="P3164" s="62">
        <f ca="1" t="shared" si="181"/>
        <v>54</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0">
        <v>45902</v>
      </c>
      <c r="D3165" s="40" t="str">
        <f>VLOOKUP(B3165,辅助信息!E:K,7,FALSE)</f>
        <v>JWDDCD2025071500024</v>
      </c>
      <c r="E3165" s="40" t="str">
        <f>VLOOKUP(F3165,辅助信息!A:B,2,FALSE)</f>
        <v>螺纹钢</v>
      </c>
      <c r="F3165" s="40" t="s">
        <v>30</v>
      </c>
      <c r="G3165" s="36">
        <v>9</v>
      </c>
      <c r="H3165" s="134"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09" t="str">
        <f>VLOOKUP(B3165,辅助信息!E:J,6,FALSE)</f>
        <v>炉批号尽可能不要多</v>
      </c>
      <c r="M3165" s="91">
        <v>45906</v>
      </c>
      <c r="O3165" s="62">
        <f ca="1" t="shared" si="180"/>
        <v>0</v>
      </c>
      <c r="P3165" s="62">
        <f ca="1" t="shared" si="181"/>
        <v>54</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0">
        <v>45902</v>
      </c>
      <c r="D3166" s="40" t="str">
        <f>VLOOKUP(B3166,辅助信息!E:K,7,FALSE)</f>
        <v>JWDDCD2025071500024</v>
      </c>
      <c r="E3166" s="40" t="str">
        <f>VLOOKUP(F3166,辅助信息!A:B,2,FALSE)</f>
        <v>螺纹钢</v>
      </c>
      <c r="F3166" s="40" t="s">
        <v>33</v>
      </c>
      <c r="G3166" s="36">
        <v>30</v>
      </c>
      <c r="H3166" s="134"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09" t="str">
        <f>VLOOKUP(B3166,辅助信息!E:J,6,FALSE)</f>
        <v>炉批号尽可能不要多</v>
      </c>
      <c r="M3166" s="91">
        <v>45906</v>
      </c>
      <c r="O3166" s="62">
        <f ca="1" t="shared" si="180"/>
        <v>0</v>
      </c>
      <c r="P3166" s="62">
        <f ca="1" t="shared" si="181"/>
        <v>54</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0">
        <v>45902</v>
      </c>
      <c r="D3167" s="40" t="str">
        <f>VLOOKUP(B3167,辅助信息!E:K,7,FALSE)</f>
        <v>JWDDCD2025071500024</v>
      </c>
      <c r="E3167" s="40" t="str">
        <f>VLOOKUP(F3167,辅助信息!A:B,2,FALSE)</f>
        <v>螺纹钢</v>
      </c>
      <c r="F3167" s="40" t="s">
        <v>28</v>
      </c>
      <c r="G3167" s="36">
        <v>21</v>
      </c>
      <c r="H3167" s="134"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09" t="str">
        <f>VLOOKUP(B3167,辅助信息!E:J,6,FALSE)</f>
        <v>炉批号尽可能不要多</v>
      </c>
      <c r="M3167" s="91">
        <v>45906</v>
      </c>
      <c r="O3167" s="62">
        <f ca="1" t="shared" si="180"/>
        <v>0</v>
      </c>
      <c r="P3167" s="62">
        <f ca="1" t="shared" si="181"/>
        <v>54</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0">
        <v>45902</v>
      </c>
      <c r="D3168" s="40" t="str">
        <f>VLOOKUP(B3168,辅助信息!E:K,7,FALSE)</f>
        <v>JWDDCD2025071500024</v>
      </c>
      <c r="E3168" s="40" t="str">
        <f>VLOOKUP(F3168,辅助信息!A:B,2,FALSE)</f>
        <v>螺纹钢</v>
      </c>
      <c r="F3168" s="40" t="s">
        <v>18</v>
      </c>
      <c r="G3168" s="36">
        <v>36</v>
      </c>
      <c r="H3168" s="134"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09" t="str">
        <f>VLOOKUP(B3168,辅助信息!E:J,6,FALSE)</f>
        <v>炉批号尽可能不要多</v>
      </c>
      <c r="M3168" s="91">
        <v>45906</v>
      </c>
      <c r="O3168" s="62">
        <f ca="1" t="shared" ref="O3168:O3231" si="182">IF(OR(M3168="",N3168&lt;&gt;""),"",MAX(M3168-TODAY(),0))</f>
        <v>0</v>
      </c>
      <c r="P3168" s="62">
        <f ca="1" t="shared" ref="P3168:P3231" si="183">IF(M3168="","",IF(N3168&lt;&gt;"",MAX(N3168-M3168,0),IF(TODAY()&gt;M3168,TODAY()-M3168,0)))</f>
        <v>54</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0">
        <v>45902</v>
      </c>
      <c r="D3169" s="40" t="str">
        <f>VLOOKUP(B3169,辅助信息!E:K,7,FALSE)</f>
        <v>JWDDCD2025071500024</v>
      </c>
      <c r="E3169" s="40" t="str">
        <f>VLOOKUP(F3169,辅助信息!A:B,2,FALSE)</f>
        <v>螺纹钢</v>
      </c>
      <c r="F3169" s="40" t="s">
        <v>65</v>
      </c>
      <c r="G3169" s="36">
        <v>3</v>
      </c>
      <c r="H3169" s="134"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09" t="str">
        <f>VLOOKUP(B3169,辅助信息!E:J,6,FALSE)</f>
        <v>炉批号尽可能不要多</v>
      </c>
      <c r="M3169" s="91">
        <v>45906</v>
      </c>
      <c r="O3169" s="62">
        <f ca="1" t="shared" si="182"/>
        <v>0</v>
      </c>
      <c r="P3169" s="62">
        <f ca="1" t="shared" si="183"/>
        <v>54</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0">
        <v>45902</v>
      </c>
      <c r="D3170" s="40" t="str">
        <f>VLOOKUP(B3170,辅助信息!E:K,7,FALSE)</f>
        <v>JWDDCD2025072900123</v>
      </c>
      <c r="E3170" s="40" t="str">
        <f>VLOOKUP(F3170,辅助信息!A:B,2,FALSE)</f>
        <v>螺纹钢</v>
      </c>
      <c r="F3170" s="40" t="s">
        <v>111</v>
      </c>
      <c r="G3170" s="36">
        <v>5</v>
      </c>
      <c r="H3170" s="134">
        <f>IF(SUMIFS('[1]2025年已发货'!$E:$E,'[1]2025年已发货'!$F:$F,C3170,'[1]2025年已发货'!$C:$C,F3170,'[1]2025年已发货'!$G:$G,I3170,'[1]2025年已发货'!$H:$H,J3170)=0,"未发货",SUMIFS('[1]2025年已发货'!$E:$E,'[1]2025年已发货'!$F:$F,C3170,'[1]2025年已发货'!$C:$C,F3170,'[1]2025年已发货'!$G:$G,I3170,'[1]2025年已发货'!$H:$H,J3170))</f>
        <v>5</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09" t="str">
        <f>VLOOKUP(B3170,辅助信息!E:J,6,FALSE)</f>
        <v>联系实际收货人（彭江涛13990276572）现场要求炉批号控制2个以下，超2个不给予签收。提前联系到场规格及数量</v>
      </c>
      <c r="M3170" s="91">
        <v>45903</v>
      </c>
      <c r="O3170" s="62">
        <f ca="1" t="shared" si="182"/>
        <v>0</v>
      </c>
      <c r="P3170" s="62">
        <f ca="1" t="shared" si="183"/>
        <v>57</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0">
        <v>45902</v>
      </c>
      <c r="D3171" s="40" t="str">
        <f>VLOOKUP(B3171,辅助信息!E:K,7,FALSE)</f>
        <v>JWDDCD2025072900123</v>
      </c>
      <c r="E3171" s="40" t="str">
        <f>VLOOKUP(F3171,辅助信息!A:B,2,FALSE)</f>
        <v>螺纹钢</v>
      </c>
      <c r="F3171" s="40" t="s">
        <v>90</v>
      </c>
      <c r="G3171" s="36">
        <v>8</v>
      </c>
      <c r="H3171" s="134"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09" t="str">
        <f>VLOOKUP(B3171,辅助信息!E:J,6,FALSE)</f>
        <v>联系实际收货人（彭江涛13990276572）现场要求炉批号控制2个以下，超2个不给予签收。提前联系到场规格及数量</v>
      </c>
      <c r="M3171" s="91">
        <v>45903</v>
      </c>
      <c r="O3171" s="62">
        <f ca="1" t="shared" si="182"/>
        <v>0</v>
      </c>
      <c r="P3171" s="62">
        <f ca="1" t="shared" si="183"/>
        <v>57</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0">
        <v>45902</v>
      </c>
      <c r="D3172" s="40" t="str">
        <f>VLOOKUP(B3172,辅助信息!E:K,7,FALSE)</f>
        <v>JWDDCD2025072900123</v>
      </c>
      <c r="E3172" s="40" t="str">
        <f>VLOOKUP(F3172,辅助信息!A:B,2,FALSE)</f>
        <v>螺纹钢</v>
      </c>
      <c r="F3172" s="40" t="s">
        <v>130</v>
      </c>
      <c r="G3172" s="36">
        <v>5</v>
      </c>
      <c r="H3172" s="134"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09" t="str">
        <f>VLOOKUP(B3172,辅助信息!E:J,6,FALSE)</f>
        <v>联系实际收货人（彭江涛13990276572）现场要求炉批号控制2个以下，超2个不给予签收。提前联系到场规格及数量</v>
      </c>
      <c r="M3172" s="91">
        <v>45903</v>
      </c>
      <c r="O3172" s="62">
        <f ca="1" t="shared" si="182"/>
        <v>0</v>
      </c>
      <c r="P3172" s="62">
        <f ca="1" t="shared" si="183"/>
        <v>57</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0">
        <v>45902</v>
      </c>
      <c r="D3173" s="40" t="str">
        <f>VLOOKUP(B3173,辅助信息!E:K,7,FALSE)</f>
        <v>JWDDCD2025072900123</v>
      </c>
      <c r="E3173" s="40" t="str">
        <f>VLOOKUP(F3173,辅助信息!A:B,2,FALSE)</f>
        <v>螺纹钢</v>
      </c>
      <c r="F3173" s="40" t="s">
        <v>138</v>
      </c>
      <c r="G3173" s="36">
        <v>5</v>
      </c>
      <c r="H3173" s="134"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09" t="str">
        <f>VLOOKUP(B3173,辅助信息!E:J,6,FALSE)</f>
        <v>联系实际收货人（彭江涛13990276572）现场要求炉批号控制2个以下，超2个不给予签收。提前联系到场规格及数量</v>
      </c>
      <c r="M3173" s="91">
        <v>45903</v>
      </c>
      <c r="O3173" s="62">
        <f ca="1" t="shared" si="182"/>
        <v>0</v>
      </c>
      <c r="P3173" s="62">
        <f ca="1" t="shared" si="183"/>
        <v>57</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0">
        <v>45902</v>
      </c>
      <c r="D3174" s="40" t="str">
        <f>VLOOKUP(B3174,辅助信息!E:K,7,FALSE)</f>
        <v>JWDDCD2025072900123</v>
      </c>
      <c r="E3174" s="40" t="str">
        <f>VLOOKUP(F3174,辅助信息!A:B,2,FALSE)</f>
        <v>螺纹钢</v>
      </c>
      <c r="F3174" s="40" t="s">
        <v>133</v>
      </c>
      <c r="G3174" s="36">
        <v>15</v>
      </c>
      <c r="H3174" s="134">
        <f>IF(SUMIFS('[1]2025年已发货'!$E:$E,'[1]2025年已发货'!$F:$F,C3174,'[1]2025年已发货'!$C:$C,F3174,'[1]2025年已发货'!$G:$G,I3174,'[1]2025年已发货'!$H:$H,J3174)=0,"未发货",SUMIFS('[1]2025年已发货'!$E:$E,'[1]2025年已发货'!$F:$F,C3174,'[1]2025年已发货'!$C:$C,F3174,'[1]2025年已发货'!$G:$G,I3174,'[1]2025年已发货'!$H:$H,J3174))</f>
        <v>15</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09" t="str">
        <f>VLOOKUP(B3174,辅助信息!E:J,6,FALSE)</f>
        <v>联系实际收货人（彭江涛13990276572）现场要求炉批号控制2个以下，超2个不给予签收。提前联系到场规格及数量</v>
      </c>
      <c r="M3174" s="91">
        <v>45903</v>
      </c>
      <c r="O3174" s="62">
        <f ca="1" t="shared" si="182"/>
        <v>0</v>
      </c>
      <c r="P3174" s="62">
        <f ca="1" t="shared" si="183"/>
        <v>57</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0">
        <v>45902</v>
      </c>
      <c r="D3175" s="40" t="str">
        <f>VLOOKUP(B3175,辅助信息!E:K,7,FALSE)</f>
        <v>JWDDCD2025072900123</v>
      </c>
      <c r="E3175" s="40" t="str">
        <f>VLOOKUP(F3175,辅助信息!A:B,2,FALSE)</f>
        <v>螺纹钢</v>
      </c>
      <c r="F3175" s="40" t="s">
        <v>198</v>
      </c>
      <c r="G3175" s="36">
        <v>11</v>
      </c>
      <c r="H3175" s="134">
        <f>IF(SUMIFS('[1]2025年已发货'!$E:$E,'[1]2025年已发货'!$F:$F,C3175,'[1]2025年已发货'!$C:$C,F3175,'[1]2025年已发货'!$G:$G,I3175,'[1]2025年已发货'!$H:$H,J3175)=0,"未发货",SUMIFS('[1]2025年已发货'!$E:$E,'[1]2025年已发货'!$F:$F,C3175,'[1]2025年已发货'!$C:$C,F3175,'[1]2025年已发货'!$G:$G,I3175,'[1]2025年已发货'!$H:$H,J3175))</f>
        <v>9</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09" t="str">
        <f>VLOOKUP(B3175,辅助信息!E:J,6,FALSE)</f>
        <v>联系实际收货人（彭江涛13990276572）现场要求炉批号控制2个以下，超2个不给予签收。提前联系到场规格及数量</v>
      </c>
      <c r="M3175" s="91">
        <v>45903</v>
      </c>
      <c r="O3175" s="62">
        <f ca="1" t="shared" si="182"/>
        <v>0</v>
      </c>
      <c r="P3175" s="62">
        <f ca="1" t="shared" si="183"/>
        <v>57</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0">
        <v>45902</v>
      </c>
      <c r="D3176" s="40" t="str">
        <f>VLOOKUP(B3176,辅助信息!E:K,7,FALSE)</f>
        <v>JWDDCD2025072900123</v>
      </c>
      <c r="E3176" s="40" t="str">
        <f>VLOOKUP(F3176,辅助信息!A:B,2,FALSE)</f>
        <v>螺纹钢</v>
      </c>
      <c r="F3176" s="40" t="s">
        <v>199</v>
      </c>
      <c r="G3176" s="36">
        <v>11</v>
      </c>
      <c r="H3176" s="134">
        <f>IF(SUMIFS('[1]2025年已发货'!$E:$E,'[1]2025年已发货'!$F:$F,C3176,'[1]2025年已发货'!$C:$C,F3176,'[1]2025年已发货'!$G:$G,I3176,'[1]2025年已发货'!$H:$H,J3176)=0,"未发货",SUMIFS('[1]2025年已发货'!$E:$E,'[1]2025年已发货'!$F:$F,C3176,'[1]2025年已发货'!$C:$C,F3176,'[1]2025年已发货'!$G:$G,I3176,'[1]2025年已发货'!$H:$H,J3176))</f>
        <v>11</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09" t="str">
        <f>VLOOKUP(B3176,辅助信息!E:J,6,FALSE)</f>
        <v>联系实际收货人（彭江涛13990276572）现场要求炉批号控制2个以下，超2个不给予签收。提前联系到场规格及数量</v>
      </c>
      <c r="M3176" s="91">
        <v>45903</v>
      </c>
      <c r="O3176" s="62">
        <f ca="1" t="shared" si="182"/>
        <v>0</v>
      </c>
      <c r="P3176" s="62">
        <f ca="1" t="shared" si="183"/>
        <v>57</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0">
        <v>45902</v>
      </c>
      <c r="D3177" s="40" t="str">
        <f>VLOOKUP(B3177,辅助信息!E:K,7,FALSE)</f>
        <v>JWDDCD2025072900123</v>
      </c>
      <c r="E3177" s="40" t="str">
        <f>VLOOKUP(F3177,辅助信息!A:B,2,FALSE)</f>
        <v>螺纹钢</v>
      </c>
      <c r="F3177" s="40" t="s">
        <v>46</v>
      </c>
      <c r="G3177" s="36">
        <v>5</v>
      </c>
      <c r="H3177" s="134">
        <f>IF(SUMIFS('[1]2025年已发货'!$E:$E,'[1]2025年已发货'!$F:$F,C3177,'[1]2025年已发货'!$C:$C,F3177,'[1]2025年已发货'!$G:$G,I3177,'[1]2025年已发货'!$H:$H,J3177)=0,"未发货",SUMIFS('[1]2025年已发货'!$E:$E,'[1]2025年已发货'!$F:$F,C3177,'[1]2025年已发货'!$C:$C,F3177,'[1]2025年已发货'!$G:$G,I3177,'[1]2025年已发货'!$H:$H,J3177))</f>
        <v>5</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09" t="str">
        <f>VLOOKUP(B3177,辅助信息!E:J,6,FALSE)</f>
        <v>联系实际收货人（彭江涛13990276572）现场要求炉批号控制2个以下，超2个不给予签收。提前联系到场规格及数量</v>
      </c>
      <c r="M3177" s="91">
        <v>45903</v>
      </c>
      <c r="O3177" s="62">
        <f ca="1" t="shared" si="182"/>
        <v>0</v>
      </c>
      <c r="P3177" s="62">
        <f ca="1" t="shared" si="183"/>
        <v>57</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0">
        <v>45902</v>
      </c>
      <c r="D3178" s="40" t="str">
        <f>VLOOKUP(B3178,辅助信息!E:K,7,FALSE)</f>
        <v>JWDDCD2025072900123</v>
      </c>
      <c r="E3178" s="40" t="str">
        <f>VLOOKUP(F3178,辅助信息!A:B,2,FALSE)</f>
        <v>螺纹钢</v>
      </c>
      <c r="F3178" s="40" t="s">
        <v>141</v>
      </c>
      <c r="G3178" s="36">
        <v>15</v>
      </c>
      <c r="H3178" s="134">
        <f>IF(SUMIFS('[1]2025年已发货'!$E:$E,'[1]2025年已发货'!$F:$F,C3178,'[1]2025年已发货'!$C:$C,F3178,'[1]2025年已发货'!$G:$G,I3178,'[1]2025年已发货'!$H:$H,J3178)=0,"未发货",SUMIFS('[1]2025年已发货'!$E:$E,'[1]2025年已发货'!$F:$F,C3178,'[1]2025年已发货'!$C:$C,F3178,'[1]2025年已发货'!$G:$G,I3178,'[1]2025年已发货'!$H:$H,J3178))</f>
        <v>15</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09" t="str">
        <f>VLOOKUP(B3178,辅助信息!E:J,6,FALSE)</f>
        <v>联系实际收货人（彭江涛13990276572）现场要求炉批号控制2个以下，超2个不给予签收。提前联系到场规格及数量</v>
      </c>
      <c r="M3178" s="91">
        <v>45903</v>
      </c>
      <c r="O3178" s="62">
        <f ca="1" t="shared" si="182"/>
        <v>0</v>
      </c>
      <c r="P3178" s="62">
        <f ca="1" t="shared" si="183"/>
        <v>57</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0">
        <v>45902</v>
      </c>
      <c r="D3179" s="40" t="str">
        <f>VLOOKUP(B3179,辅助信息!E:K,7,FALSE)</f>
        <v>JWDDCD2025072900123</v>
      </c>
      <c r="E3179" s="40" t="str">
        <f>VLOOKUP(F3179,辅助信息!A:B,2,FALSE)</f>
        <v>螺纹钢</v>
      </c>
      <c r="F3179" s="40" t="s">
        <v>22</v>
      </c>
      <c r="G3179" s="36">
        <v>16</v>
      </c>
      <c r="H3179" s="134">
        <f>IF(SUMIFS('[1]2025年已发货'!$E:$E,'[1]2025年已发货'!$F:$F,C3179,'[1]2025年已发货'!$C:$C,F3179,'[1]2025年已发货'!$G:$G,I3179,'[1]2025年已发货'!$H:$H,J3179)=0,"未发货",SUMIFS('[1]2025年已发货'!$E:$E,'[1]2025年已发货'!$F:$F,C3179,'[1]2025年已发货'!$C:$C,F3179,'[1]2025年已发货'!$G:$G,I3179,'[1]2025年已发货'!$H:$H,J3179))</f>
        <v>16</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09" t="str">
        <f>VLOOKUP(B3179,辅助信息!E:J,6,FALSE)</f>
        <v>联系实际收货人（彭江涛13990276572）现场要求炉批号控制2个以下，超2个不给予签收。提前联系到场规格及数量</v>
      </c>
      <c r="M3179" s="91">
        <v>45903</v>
      </c>
      <c r="O3179" s="62">
        <f ca="1" t="shared" si="182"/>
        <v>0</v>
      </c>
      <c r="P3179" s="62">
        <f ca="1" t="shared" si="183"/>
        <v>57</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0">
        <v>45902</v>
      </c>
      <c r="D3180" s="40" t="str">
        <f>VLOOKUP(B3180,辅助信息!E:K,7,FALSE)</f>
        <v>JWDDCD2025072900123</v>
      </c>
      <c r="E3180" s="40" t="str">
        <f>VLOOKUP(F3180,辅助信息!A:B,2,FALSE)</f>
        <v>螺纹钢</v>
      </c>
      <c r="F3180" s="40" t="s">
        <v>142</v>
      </c>
      <c r="G3180" s="36">
        <v>18</v>
      </c>
      <c r="H3180" s="134">
        <f>IF(SUMIFS('[1]2025年已发货'!$E:$E,'[1]2025年已发货'!$F:$F,C3180,'[1]2025年已发货'!$C:$C,F3180,'[1]2025年已发货'!$G:$G,I3180,'[1]2025年已发货'!$H:$H,J3180)=0,"未发货",SUMIFS('[1]2025年已发货'!$E:$E,'[1]2025年已发货'!$F:$F,C3180,'[1]2025年已发货'!$C:$C,F3180,'[1]2025年已发货'!$G:$G,I3180,'[1]2025年已发货'!$H:$H,J3180))</f>
        <v>18</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09" t="str">
        <f>VLOOKUP(B3180,辅助信息!E:J,6,FALSE)</f>
        <v>联系实际收货人（彭江涛13990276572）现场要求炉批号控制2个以下，超2个不给予签收。提前联系到场规格及数量</v>
      </c>
      <c r="M3180" s="91">
        <v>45903</v>
      </c>
      <c r="O3180" s="62">
        <f ca="1" t="shared" si="182"/>
        <v>0</v>
      </c>
      <c r="P3180" s="62">
        <f ca="1" t="shared" si="183"/>
        <v>57</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0">
        <v>45902</v>
      </c>
      <c r="D3181" s="40" t="str">
        <f>VLOOKUP(B3181,辅助信息!E:K,7,FALSE)</f>
        <v>JWDDCD2025072900123</v>
      </c>
      <c r="E3181" s="40" t="str">
        <f>VLOOKUP(F3181,辅助信息!A:B,2,FALSE)</f>
        <v>盘螺</v>
      </c>
      <c r="F3181" s="40" t="s">
        <v>41</v>
      </c>
      <c r="G3181" s="36">
        <v>36</v>
      </c>
      <c r="H3181" s="134">
        <f>IF(SUMIFS('[1]2025年已发货'!$E:$E,'[1]2025年已发货'!$F:$F,C3181,'[1]2025年已发货'!$C:$C,F3181,'[1]2025年已发货'!$G:$G,I3181,'[1]2025年已发货'!$H:$H,J3181)=0,"未发货",SUMIFS('[1]2025年已发货'!$E:$E,'[1]2025年已发货'!$F:$F,C3181,'[1]2025年已发货'!$C:$C,F3181,'[1]2025年已发货'!$G:$G,I3181,'[1]2025年已发货'!$H:$H,J3181))</f>
        <v>36</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09" t="str">
        <f>VLOOKUP(B3181,辅助信息!E:J,6,FALSE)</f>
        <v>联系实际收货人（彭江涛13990276572）现场要求炉批号控制2个以下，超2个不给予签收。提前联系到场规格及数量</v>
      </c>
      <c r="M3181" s="91">
        <v>45903</v>
      </c>
      <c r="O3181" s="62">
        <f ca="1" t="shared" si="182"/>
        <v>0</v>
      </c>
      <c r="P3181" s="62">
        <f ca="1" t="shared" si="183"/>
        <v>57</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0">
        <v>45902</v>
      </c>
      <c r="D3182" s="40" t="str">
        <f>VLOOKUP(B3182,辅助信息!E:K,7,FALSE)</f>
        <v>JWDDCD2025072900123</v>
      </c>
      <c r="E3182" s="40" t="str">
        <f>VLOOKUP(F3182,辅助信息!A:B,2,FALSE)</f>
        <v>盘螺</v>
      </c>
      <c r="F3182" s="40" t="s">
        <v>26</v>
      </c>
      <c r="G3182" s="36">
        <v>40</v>
      </c>
      <c r="H3182" s="134">
        <f>IF(SUMIFS('[1]2025年已发货'!$E:$E,'[1]2025年已发货'!$F:$F,C3182,'[1]2025年已发货'!$C:$C,F3182,'[1]2025年已发货'!$G:$G,I3182,'[1]2025年已发货'!$H:$H,J3182)=0,"未发货",SUMIFS('[1]2025年已发货'!$E:$E,'[1]2025年已发货'!$F:$F,C3182,'[1]2025年已发货'!$C:$C,F3182,'[1]2025年已发货'!$G:$G,I3182,'[1]2025年已发货'!$H:$H,J3182))</f>
        <v>40</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09" t="str">
        <f>VLOOKUP(B3182,辅助信息!E:J,6,FALSE)</f>
        <v>联系实际收货人（彭江涛13990276572）现场要求炉批号控制2个以下，超2个不给予签收。提前联系到场规格及数量</v>
      </c>
      <c r="M3182" s="91">
        <v>45903</v>
      </c>
      <c r="O3182" s="62">
        <f ca="1" t="shared" si="182"/>
        <v>0</v>
      </c>
      <c r="P3182" s="62">
        <f ca="1" t="shared" si="183"/>
        <v>57</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0">
        <v>45902</v>
      </c>
      <c r="D3183" s="40" t="str">
        <f>VLOOKUP(B3183,辅助信息!E:K,7,FALSE)</f>
        <v>JWDDCD2025072900123</v>
      </c>
      <c r="E3183" s="40" t="str">
        <f>VLOOKUP(F3183,辅助信息!A:B,2,FALSE)</f>
        <v>盘螺</v>
      </c>
      <c r="F3183" s="40" t="s">
        <v>40</v>
      </c>
      <c r="G3183" s="36">
        <v>4</v>
      </c>
      <c r="H3183" s="134">
        <f>IF(SUMIFS('[1]2025年已发货'!$E:$E,'[1]2025年已发货'!$F:$F,C3183,'[1]2025年已发货'!$C:$C,F3183,'[1]2025年已发货'!$G:$G,I3183,'[1]2025年已发货'!$H:$H,J3183)=0,"未发货",SUMIFS('[1]2025年已发货'!$E:$E,'[1]2025年已发货'!$F:$F,C3183,'[1]2025年已发货'!$C:$C,F3183,'[1]2025年已发货'!$G:$G,I3183,'[1]2025年已发货'!$H:$H,J3183))</f>
        <v>4</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09" t="str">
        <f>VLOOKUP(B3183,辅助信息!E:J,6,FALSE)</f>
        <v>联系实际收货人（彭江涛13990276572）现场要求炉批号控制2个以下，超2个不给予签收。提前联系到场规格及数量</v>
      </c>
      <c r="M3183" s="91">
        <v>45903</v>
      </c>
      <c r="O3183" s="62">
        <f ca="1" t="shared" si="182"/>
        <v>0</v>
      </c>
      <c r="P3183" s="62">
        <f ca="1" t="shared" si="183"/>
        <v>57</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0" t="s">
        <v>47</v>
      </c>
      <c r="C3184" s="70">
        <v>45903</v>
      </c>
      <c r="D3184" s="120" t="str">
        <f>VLOOKUP(B3184,辅助信息!E:K,7,FALSE)</f>
        <v>JWDDCD2025052800131</v>
      </c>
      <c r="E3184" s="120" t="str">
        <f>VLOOKUP(F3184,辅助信息!A:B,2,FALSE)</f>
        <v>螺纹钢</v>
      </c>
      <c r="F3184" s="120" t="s">
        <v>30</v>
      </c>
      <c r="G3184" s="121">
        <v>6</v>
      </c>
      <c r="H3184" s="134"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0" t="str">
        <f>VLOOKUP(B3184,辅助信息!E:I,3,FALSE)</f>
        <v>（商投建工达州中医药科技园-1工区）达州市通川区达州中医药职业学院犀牛大道北段</v>
      </c>
      <c r="J3184" s="120" t="str">
        <f>VLOOKUP(B3184,辅助信息!E:I,4,FALSE)</f>
        <v>程黄刚</v>
      </c>
      <c r="K3184" s="120">
        <f>VLOOKUP(J3184,辅助信息!H:I,2,FALSE)</f>
        <v>15108211617</v>
      </c>
      <c r="L3184" s="122" t="str">
        <f>VLOOKUP(B3184,辅助信息!E:J,6,FALSE)</f>
        <v>控制炉批号！多了现场不收！,优先安排达钢,提前联系到场规格及数量</v>
      </c>
      <c r="M3184" s="91">
        <v>45904</v>
      </c>
      <c r="N3184" s="62" t="s">
        <v>214</v>
      </c>
      <c r="O3184" s="62">
        <f ca="1" t="shared" si="182"/>
        <v>0</v>
      </c>
      <c r="P3184" s="144">
        <f ca="1" t="shared" si="183"/>
        <v>56</v>
      </c>
      <c r="Q3184" s="29" t="str">
        <f>VLOOKUP(B3184,辅助信息!E:M,9,FALSE)</f>
        <v>ZTWM-CDGS-XS-2024-0134-商投建工达州中医药科技成果示范园项目</v>
      </c>
      <c r="R3184" s="145" t="str">
        <f>_xlfn._xlws.FILTER(辅助信息!D:D,辅助信息!E:E=B3184)</f>
        <v>商投建工达州中医药科技园</v>
      </c>
    </row>
    <row r="3185" hidden="1" spans="2:18">
      <c r="B3185" s="120" t="s">
        <v>47</v>
      </c>
      <c r="C3185" s="70">
        <v>45903</v>
      </c>
      <c r="D3185" s="120" t="str">
        <f>VLOOKUP(B3185,辅助信息!E:K,7,FALSE)</f>
        <v>JWDDCD2025052800131</v>
      </c>
      <c r="E3185" s="120" t="str">
        <f>VLOOKUP(F3185,辅助信息!A:B,2,FALSE)</f>
        <v>螺纹钢</v>
      </c>
      <c r="F3185" s="120" t="s">
        <v>45</v>
      </c>
      <c r="G3185" s="121">
        <v>3</v>
      </c>
      <c r="H3185" s="134"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0" t="str">
        <f>VLOOKUP(B3185,辅助信息!E:I,3,FALSE)</f>
        <v>（商投建工达州中医药科技园-1工区）达州市通川区达州中医药职业学院犀牛大道北段</v>
      </c>
      <c r="J3185" s="120" t="str">
        <f>VLOOKUP(B3185,辅助信息!E:I,4,FALSE)</f>
        <v>程黄刚</v>
      </c>
      <c r="K3185" s="120">
        <f>VLOOKUP(J3185,辅助信息!H:I,2,FALSE)</f>
        <v>15108211617</v>
      </c>
      <c r="L3185" s="122" t="str">
        <f>VLOOKUP(B3185,辅助信息!E:J,6,FALSE)</f>
        <v>控制炉批号！多了现场不收！,优先安排达钢,提前联系到场规格及数量</v>
      </c>
      <c r="M3185" s="91">
        <v>45904</v>
      </c>
      <c r="N3185" s="62" t="s">
        <v>214</v>
      </c>
      <c r="O3185" s="62">
        <f ca="1" t="shared" si="182"/>
        <v>0</v>
      </c>
      <c r="P3185" s="144">
        <f ca="1" t="shared" si="183"/>
        <v>56</v>
      </c>
      <c r="Q3185" s="29" t="str">
        <f>VLOOKUP(B3185,辅助信息!E:M,9,FALSE)</f>
        <v>ZTWM-CDGS-XS-2024-0134-商投建工达州中医药科技成果示范园项目</v>
      </c>
      <c r="R3185" s="145" t="str">
        <f>_xlfn._xlws.FILTER(辅助信息!D:D,辅助信息!E:E=B3185)</f>
        <v>商投建工达州中医药科技园</v>
      </c>
    </row>
    <row r="3186" hidden="1" spans="2:18">
      <c r="B3186" s="120" t="s">
        <v>47</v>
      </c>
      <c r="C3186" s="70">
        <v>45903</v>
      </c>
      <c r="D3186" s="120" t="str">
        <f>VLOOKUP(B3186,辅助信息!E:K,7,FALSE)</f>
        <v>JWDDCD2025052800131</v>
      </c>
      <c r="E3186" s="120" t="str">
        <f>VLOOKUP(F3186,辅助信息!A:B,2,FALSE)</f>
        <v>螺纹钢</v>
      </c>
      <c r="F3186" s="120" t="s">
        <v>21</v>
      </c>
      <c r="G3186" s="121">
        <v>6</v>
      </c>
      <c r="H3186" s="134"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0" t="str">
        <f>VLOOKUP(B3186,辅助信息!E:I,3,FALSE)</f>
        <v>（商投建工达州中医药科技园-1工区）达州市通川区达州中医药职业学院犀牛大道北段</v>
      </c>
      <c r="J3186" s="120" t="str">
        <f>VLOOKUP(B3186,辅助信息!E:I,4,FALSE)</f>
        <v>程黄刚</v>
      </c>
      <c r="K3186" s="120">
        <f>VLOOKUP(J3186,辅助信息!H:I,2,FALSE)</f>
        <v>15108211617</v>
      </c>
      <c r="L3186" s="122" t="str">
        <f>VLOOKUP(B3186,辅助信息!E:J,6,FALSE)</f>
        <v>控制炉批号！多了现场不收！,优先安排达钢,提前联系到场规格及数量</v>
      </c>
      <c r="M3186" s="91">
        <v>45904</v>
      </c>
      <c r="N3186" s="62" t="s">
        <v>214</v>
      </c>
      <c r="O3186" s="62">
        <f ca="1" t="shared" si="182"/>
        <v>0</v>
      </c>
      <c r="P3186" s="144">
        <f ca="1" t="shared" si="183"/>
        <v>56</v>
      </c>
      <c r="Q3186" s="29" t="str">
        <f>VLOOKUP(B3186,辅助信息!E:M,9,FALSE)</f>
        <v>ZTWM-CDGS-XS-2024-0134-商投建工达州中医药科技成果示范园项目</v>
      </c>
      <c r="R3186" s="145" t="str">
        <f>_xlfn._xlws.FILTER(辅助信息!D:D,辅助信息!E:E=B3186)</f>
        <v>商投建工达州中医药科技园</v>
      </c>
    </row>
    <row r="3187" hidden="1" spans="2:18">
      <c r="B3187" s="120" t="s">
        <v>47</v>
      </c>
      <c r="C3187" s="70">
        <v>45903</v>
      </c>
      <c r="D3187" s="120" t="str">
        <f>VLOOKUP(B3187,辅助信息!E:K,7,FALSE)</f>
        <v>JWDDCD2025052800131</v>
      </c>
      <c r="E3187" s="120" t="str">
        <f>VLOOKUP(F3187,辅助信息!A:B,2,FALSE)</f>
        <v>螺纹钢</v>
      </c>
      <c r="F3187" s="120" t="s">
        <v>58</v>
      </c>
      <c r="G3187" s="121">
        <v>12</v>
      </c>
      <c r="H3187" s="134"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0" t="str">
        <f>VLOOKUP(B3187,辅助信息!E:I,3,FALSE)</f>
        <v>（商投建工达州中医药科技园-1工区）达州市通川区达州中医药职业学院犀牛大道北段</v>
      </c>
      <c r="J3187" s="120" t="str">
        <f>VLOOKUP(B3187,辅助信息!E:I,4,FALSE)</f>
        <v>程黄刚</v>
      </c>
      <c r="K3187" s="120">
        <f>VLOOKUP(J3187,辅助信息!H:I,2,FALSE)</f>
        <v>15108211617</v>
      </c>
      <c r="L3187" s="122" t="str">
        <f>VLOOKUP(B3187,辅助信息!E:J,6,FALSE)</f>
        <v>控制炉批号！多了现场不收！,优先安排达钢,提前联系到场规格及数量</v>
      </c>
      <c r="M3187" s="91">
        <v>45904</v>
      </c>
      <c r="N3187" s="62" t="s">
        <v>214</v>
      </c>
      <c r="O3187" s="62">
        <f ca="1" t="shared" si="182"/>
        <v>0</v>
      </c>
      <c r="P3187" s="144">
        <f ca="1" t="shared" si="183"/>
        <v>56</v>
      </c>
      <c r="Q3187" s="29" t="str">
        <f>VLOOKUP(B3187,辅助信息!E:M,9,FALSE)</f>
        <v>ZTWM-CDGS-XS-2024-0134-商投建工达州中医药科技成果示范园项目</v>
      </c>
      <c r="R3187" s="145" t="str">
        <f>_xlfn._xlws.FILTER(辅助信息!D:D,辅助信息!E:E=B3187)</f>
        <v>商投建工达州中医药科技园</v>
      </c>
    </row>
    <row r="3188" hidden="1" spans="2:18">
      <c r="B3188" s="120" t="s">
        <v>47</v>
      </c>
      <c r="C3188" s="70">
        <v>45903</v>
      </c>
      <c r="D3188" s="120" t="str">
        <f>VLOOKUP(B3188,辅助信息!E:K,7,FALSE)</f>
        <v>JWDDCD2025052800131</v>
      </c>
      <c r="E3188" s="120" t="str">
        <f>VLOOKUP(F3188,辅助信息!A:B,2,FALSE)</f>
        <v>螺纹钢</v>
      </c>
      <c r="F3188" s="120" t="s">
        <v>46</v>
      </c>
      <c r="G3188" s="121">
        <v>6</v>
      </c>
      <c r="H3188" s="134"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0" t="str">
        <f>VLOOKUP(B3188,辅助信息!E:I,3,FALSE)</f>
        <v>（商投建工达州中医药科技园-1工区）达州市通川区达州中医药职业学院犀牛大道北段</v>
      </c>
      <c r="J3188" s="120" t="str">
        <f>VLOOKUP(B3188,辅助信息!E:I,4,FALSE)</f>
        <v>程黄刚</v>
      </c>
      <c r="K3188" s="120">
        <f>VLOOKUP(J3188,辅助信息!H:I,2,FALSE)</f>
        <v>15108211617</v>
      </c>
      <c r="L3188" s="122" t="str">
        <f>VLOOKUP(B3188,辅助信息!E:J,6,FALSE)</f>
        <v>控制炉批号！多了现场不收！,优先安排达钢,提前联系到场规格及数量</v>
      </c>
      <c r="M3188" s="91">
        <v>45904</v>
      </c>
      <c r="N3188" s="62" t="s">
        <v>214</v>
      </c>
      <c r="O3188" s="62">
        <f ca="1" t="shared" si="182"/>
        <v>0</v>
      </c>
      <c r="P3188" s="144">
        <f ca="1" t="shared" si="183"/>
        <v>56</v>
      </c>
      <c r="Q3188" s="29" t="str">
        <f>VLOOKUP(B3188,辅助信息!E:M,9,FALSE)</f>
        <v>ZTWM-CDGS-XS-2024-0134-商投建工达州中医药科技成果示范园项目</v>
      </c>
      <c r="R3188" s="145" t="str">
        <f>_xlfn._xlws.FILTER(辅助信息!D:D,辅助信息!E:E=B3188)</f>
        <v>商投建工达州中医药科技园</v>
      </c>
    </row>
    <row r="3189" hidden="1" spans="2:18">
      <c r="B3189" s="120" t="s">
        <v>47</v>
      </c>
      <c r="C3189" s="70">
        <v>45903</v>
      </c>
      <c r="D3189" s="120" t="str">
        <f>VLOOKUP(B3189,辅助信息!E:K,7,FALSE)</f>
        <v>JWDDCD2025052800131</v>
      </c>
      <c r="E3189" s="120" t="str">
        <f>VLOOKUP(F3189,辅助信息!A:B,2,FALSE)</f>
        <v>螺纹钢</v>
      </c>
      <c r="F3189" s="120" t="s">
        <v>22</v>
      </c>
      <c r="G3189" s="121">
        <v>6</v>
      </c>
      <c r="H3189" s="134"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0" t="str">
        <f>VLOOKUP(B3189,辅助信息!E:I,3,FALSE)</f>
        <v>（商投建工达州中医药科技园-1工区）达州市通川区达州中医药职业学院犀牛大道北段</v>
      </c>
      <c r="J3189" s="120" t="str">
        <f>VLOOKUP(B3189,辅助信息!E:I,4,FALSE)</f>
        <v>程黄刚</v>
      </c>
      <c r="K3189" s="120">
        <f>VLOOKUP(J3189,辅助信息!H:I,2,FALSE)</f>
        <v>15108211617</v>
      </c>
      <c r="L3189" s="122" t="str">
        <f>VLOOKUP(B3189,辅助信息!E:J,6,FALSE)</f>
        <v>控制炉批号！多了现场不收！,优先安排达钢,提前联系到场规格及数量</v>
      </c>
      <c r="M3189" s="91">
        <v>45904</v>
      </c>
      <c r="N3189" s="62" t="s">
        <v>214</v>
      </c>
      <c r="O3189" s="62">
        <f ca="1" t="shared" si="182"/>
        <v>0</v>
      </c>
      <c r="P3189" s="144">
        <f ca="1" t="shared" si="183"/>
        <v>56</v>
      </c>
      <c r="Q3189" s="29" t="str">
        <f>VLOOKUP(B3189,辅助信息!E:M,9,FALSE)</f>
        <v>ZTWM-CDGS-XS-2024-0134-商投建工达州中医药科技成果示范园项目</v>
      </c>
      <c r="R3189" s="145" t="str">
        <f>_xlfn._xlws.FILTER(辅助信息!D:D,辅助信息!E:E=B3189)</f>
        <v>商投建工达州中医药科技园</v>
      </c>
    </row>
    <row r="3190" hidden="1" spans="2:18">
      <c r="B3190" s="120" t="s">
        <v>68</v>
      </c>
      <c r="C3190" s="70">
        <v>45903</v>
      </c>
      <c r="D3190" s="120" t="str">
        <f>VLOOKUP(B3190,辅助信息!E:K,7,FALSE)</f>
        <v>JWDDCD2025052800131</v>
      </c>
      <c r="E3190" s="120" t="str">
        <f>VLOOKUP(F3190,辅助信息!A:B,2,FALSE)</f>
        <v>螺纹钢</v>
      </c>
      <c r="F3190" s="120" t="s">
        <v>30</v>
      </c>
      <c r="G3190" s="121">
        <v>42</v>
      </c>
      <c r="H3190" s="134"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0" t="str">
        <f>VLOOKUP(B3190,辅助信息!E:I,3,FALSE)</f>
        <v>（商投建工达州中医药科技园-2工区-景观桥）达州市通川区达州中医药职业学院犀牛大道北段</v>
      </c>
      <c r="J3190" s="120" t="str">
        <f>VLOOKUP(B3190,辅助信息!E:I,4,FALSE)</f>
        <v>李波</v>
      </c>
      <c r="K3190" s="120">
        <f>VLOOKUP(J3190,辅助信息!H:I,2,FALSE)</f>
        <v>18381899787</v>
      </c>
      <c r="L3190" s="122" t="str">
        <f>VLOOKUP(B3190,辅助信息!E:J,6,FALSE)</f>
        <v>控制炉批号！多了现场不收！,优先安排达钢,提前联系到场规格及数量</v>
      </c>
      <c r="M3190" s="91">
        <v>45904</v>
      </c>
      <c r="N3190" s="62" t="s">
        <v>214</v>
      </c>
      <c r="O3190" s="62">
        <f ca="1" t="shared" si="182"/>
        <v>0</v>
      </c>
      <c r="P3190" s="144">
        <f ca="1" t="shared" si="183"/>
        <v>56</v>
      </c>
      <c r="Q3190" s="29" t="str">
        <f>VLOOKUP(B3190,辅助信息!E:M,9,FALSE)</f>
        <v>ZTWM-CDGS-XS-2024-0134-商投建工达州中医药科技成果示范园项目</v>
      </c>
      <c r="R3190" s="145" t="str">
        <f>_xlfn._xlws.FILTER(辅助信息!D:D,辅助信息!E:E=B3190)</f>
        <v>商投建工达州中医药科技园</v>
      </c>
    </row>
    <row r="3191" hidden="1" spans="2:18">
      <c r="B3191" s="120" t="s">
        <v>68</v>
      </c>
      <c r="C3191" s="70">
        <v>45903</v>
      </c>
      <c r="D3191" s="120" t="str">
        <f>VLOOKUP(B3191,辅助信息!E:K,7,FALSE)</f>
        <v>JWDDCD2025052800131</v>
      </c>
      <c r="E3191" s="120" t="str">
        <f>VLOOKUP(F3191,辅助信息!A:B,2,FALSE)</f>
        <v>螺纹钢</v>
      </c>
      <c r="F3191" s="120" t="s">
        <v>28</v>
      </c>
      <c r="G3191" s="121">
        <v>15</v>
      </c>
      <c r="H3191" s="134"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0" t="str">
        <f>VLOOKUP(B3191,辅助信息!E:I,3,FALSE)</f>
        <v>（商投建工达州中医药科技园-2工区-景观桥）达州市通川区达州中医药职业学院犀牛大道北段</v>
      </c>
      <c r="J3191" s="120" t="str">
        <f>VLOOKUP(B3191,辅助信息!E:I,4,FALSE)</f>
        <v>李波</v>
      </c>
      <c r="K3191" s="120">
        <f>VLOOKUP(J3191,辅助信息!H:I,2,FALSE)</f>
        <v>18381899787</v>
      </c>
      <c r="L3191" s="122" t="str">
        <f>VLOOKUP(B3191,辅助信息!E:J,6,FALSE)</f>
        <v>控制炉批号！多了现场不收！,优先安排达钢,提前联系到场规格及数量</v>
      </c>
      <c r="M3191" s="91">
        <v>45904</v>
      </c>
      <c r="N3191" s="62" t="s">
        <v>214</v>
      </c>
      <c r="O3191" s="62">
        <f ca="1" t="shared" si="182"/>
        <v>0</v>
      </c>
      <c r="P3191" s="144">
        <f ca="1" t="shared" si="183"/>
        <v>56</v>
      </c>
      <c r="Q3191" s="29" t="str">
        <f>VLOOKUP(B3191,辅助信息!E:M,9,FALSE)</f>
        <v>ZTWM-CDGS-XS-2024-0134-商投建工达州中医药科技成果示范园项目</v>
      </c>
      <c r="R3191" s="145" t="str">
        <f>_xlfn._xlws.FILTER(辅助信息!D:D,辅助信息!E:E=B3191)</f>
        <v>商投建工达州中医药科技园</v>
      </c>
    </row>
    <row r="3192" hidden="1" spans="2:18">
      <c r="B3192" s="40" t="s">
        <v>180</v>
      </c>
      <c r="C3192" s="70">
        <v>45903</v>
      </c>
      <c r="D3192" s="40" t="str">
        <f>VLOOKUP(B3192,辅助信息!E:K,7,FALSE)</f>
        <v>JWDDCD2025052800131</v>
      </c>
      <c r="E3192" s="40" t="str">
        <f>VLOOKUP(F3192,辅助信息!A:B,2,FALSE)</f>
        <v>盘螺</v>
      </c>
      <c r="F3192" s="40" t="s">
        <v>40</v>
      </c>
      <c r="G3192" s="36">
        <v>22</v>
      </c>
      <c r="H3192" s="134">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09" t="str">
        <f>VLOOKUP(B3192,辅助信息!E:J,6,FALSE)</f>
        <v>控制炉批号！多了现场不收！,优先安排达钢,提前联系到场规格及数量</v>
      </c>
      <c r="M3192" s="91">
        <v>45903</v>
      </c>
      <c r="O3192" s="62">
        <f ca="1" t="shared" si="182"/>
        <v>0</v>
      </c>
      <c r="P3192" s="62">
        <f ca="1" t="shared" si="183"/>
        <v>57</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0">
        <v>45903</v>
      </c>
      <c r="D3193" s="40" t="str">
        <f>VLOOKUP(B3193,辅助信息!E:K,7,FALSE)</f>
        <v>JWDDCD2025052800131</v>
      </c>
      <c r="E3193" s="40" t="str">
        <f>VLOOKUP(F3193,辅助信息!A:B,2,FALSE)</f>
        <v>螺纹钢</v>
      </c>
      <c r="F3193" s="40" t="s">
        <v>58</v>
      </c>
      <c r="G3193" s="36">
        <v>12</v>
      </c>
      <c r="H3193" s="134">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09" t="str">
        <f>VLOOKUP(B3193,辅助信息!E:J,6,FALSE)</f>
        <v>控制炉批号！多了现场不收！,优先安排达钢,提前联系到场规格及数量</v>
      </c>
      <c r="M3193" s="91">
        <v>45903</v>
      </c>
      <c r="O3193" s="62">
        <f ca="1" t="shared" si="182"/>
        <v>0</v>
      </c>
      <c r="P3193" s="62">
        <f ca="1" t="shared" si="183"/>
        <v>57</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0">
        <v>45903</v>
      </c>
      <c r="D3194" s="40" t="str">
        <f>VLOOKUP(B3194,辅助信息!E:K,7,FALSE)</f>
        <v>JWDDCD2025052800131</v>
      </c>
      <c r="E3194" s="40" t="str">
        <f>VLOOKUP(F3194,辅助信息!A:B,2,FALSE)</f>
        <v>螺纹钢</v>
      </c>
      <c r="F3194" s="40" t="s">
        <v>22</v>
      </c>
      <c r="G3194" s="36">
        <v>13</v>
      </c>
      <c r="H3194" s="134">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09" t="str">
        <f>VLOOKUP(B3194,辅助信息!E:J,6,FALSE)</f>
        <v>控制炉批号！多了现场不收！,优先安排达钢,提前联系到场规格及数量</v>
      </c>
      <c r="M3194" s="91">
        <v>45903</v>
      </c>
      <c r="O3194" s="62">
        <f ca="1" t="shared" si="182"/>
        <v>0</v>
      </c>
      <c r="P3194" s="62">
        <f ca="1" t="shared" si="183"/>
        <v>57</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0">
        <v>45903</v>
      </c>
      <c r="D3195" s="40" t="str">
        <f>VLOOKUP(B3195,辅助信息!E:K,7,FALSE)</f>
        <v>JWDDCD2025052800131</v>
      </c>
      <c r="E3195" s="40" t="str">
        <f>VLOOKUP(F3195,辅助信息!A:B,2,FALSE)</f>
        <v>盘螺</v>
      </c>
      <c r="F3195" s="40" t="s">
        <v>40</v>
      </c>
      <c r="G3195" s="36">
        <v>15</v>
      </c>
      <c r="H3195" s="134"/>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09" t="str">
        <f>VLOOKUP(B3195,辅助信息!E:J,6,FALSE)</f>
        <v>控制炉批号！多了现场不收！,优先安排达钢,提前联系到场规格及数量</v>
      </c>
      <c r="M3195" s="91">
        <v>45903</v>
      </c>
      <c r="O3195" s="62">
        <f ca="1" t="shared" si="182"/>
        <v>0</v>
      </c>
      <c r="P3195" s="62">
        <f ca="1" t="shared" si="183"/>
        <v>57</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0">
        <v>45903</v>
      </c>
      <c r="D3196" s="40" t="str">
        <f>VLOOKUP(B3196,辅助信息!E:K,7,FALSE)</f>
        <v>JWDDCD2025052800131</v>
      </c>
      <c r="E3196" s="40" t="str">
        <f>VLOOKUP(F3196,辅助信息!A:B,2,FALSE)</f>
        <v>螺纹钢</v>
      </c>
      <c r="F3196" s="40" t="s">
        <v>33</v>
      </c>
      <c r="G3196" s="36">
        <v>10</v>
      </c>
      <c r="H3196" s="134">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09" t="str">
        <f>VLOOKUP(B3196,辅助信息!E:J,6,FALSE)</f>
        <v>控制炉批号！多了现场不收！,优先安排达钢,提前联系到场规格及数量</v>
      </c>
      <c r="M3196" s="91">
        <v>45903</v>
      </c>
      <c r="O3196" s="62">
        <f ca="1" t="shared" si="182"/>
        <v>0</v>
      </c>
      <c r="P3196" s="62">
        <f ca="1" t="shared" si="183"/>
        <v>57</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0">
        <v>45903</v>
      </c>
      <c r="D3197" s="40" t="str">
        <f>VLOOKUP(B3197,辅助信息!E:K,7,FALSE)</f>
        <v>JWDDCD2025052800131</v>
      </c>
      <c r="E3197" s="40" t="str">
        <f>VLOOKUP(F3197,辅助信息!A:B,2,FALSE)</f>
        <v>螺纹钢</v>
      </c>
      <c r="F3197" s="40" t="s">
        <v>18</v>
      </c>
      <c r="G3197" s="36">
        <v>10</v>
      </c>
      <c r="H3197" s="134">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09" t="str">
        <f>VLOOKUP(B3197,辅助信息!E:J,6,FALSE)</f>
        <v>控制炉批号！多了现场不收！,优先安排达钢,提前联系到场规格及数量</v>
      </c>
      <c r="M3197" s="91">
        <v>45903</v>
      </c>
      <c r="O3197" s="62">
        <f ca="1" t="shared" si="182"/>
        <v>0</v>
      </c>
      <c r="P3197" s="62">
        <f ca="1" t="shared" si="183"/>
        <v>57</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0">
        <v>45903</v>
      </c>
      <c r="D3198" s="40" t="str">
        <f>VLOOKUP(B3198,辅助信息!E:K,7,FALSE)</f>
        <v>JWDDCD2025052800131</v>
      </c>
      <c r="E3198" s="40" t="str">
        <f>VLOOKUP(F3198,辅助信息!A:B,2,FALSE)</f>
        <v>盘螺</v>
      </c>
      <c r="F3198" s="40" t="s">
        <v>49</v>
      </c>
      <c r="G3198" s="36">
        <v>5</v>
      </c>
      <c r="H3198" s="134">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09" t="str">
        <f>VLOOKUP(B3198,辅助信息!E:J,6,FALSE)</f>
        <v>控制炉批号！多了现场不收！,优先安排达钢,提前联系到场规格及数量</v>
      </c>
      <c r="M3198" s="91">
        <v>45904</v>
      </c>
      <c r="O3198" s="62">
        <f ca="1" t="shared" si="182"/>
        <v>0</v>
      </c>
      <c r="P3198" s="62">
        <f ca="1" t="shared" si="183"/>
        <v>56</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0">
        <v>45903</v>
      </c>
      <c r="D3199" s="40" t="str">
        <f>VLOOKUP(B3199,辅助信息!E:K,7,FALSE)</f>
        <v>JWDDCD2025052800131</v>
      </c>
      <c r="E3199" s="40" t="str">
        <f>VLOOKUP(F3199,辅助信息!A:B,2,FALSE)</f>
        <v>盘螺</v>
      </c>
      <c r="F3199" s="40" t="s">
        <v>40</v>
      </c>
      <c r="G3199" s="36">
        <v>24</v>
      </c>
      <c r="H3199" s="134">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09" t="str">
        <f>VLOOKUP(B3199,辅助信息!E:J,6,FALSE)</f>
        <v>控制炉批号！多了现场不收！,优先安排达钢,提前联系到场规格及数量</v>
      </c>
      <c r="M3199" s="91">
        <v>45904</v>
      </c>
      <c r="O3199" s="62">
        <f ca="1" t="shared" si="182"/>
        <v>0</v>
      </c>
      <c r="P3199" s="62">
        <f ca="1" t="shared" si="183"/>
        <v>56</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0">
        <v>45903</v>
      </c>
      <c r="D3200" s="40" t="str">
        <f>VLOOKUP(B3200,辅助信息!E:K,7,FALSE)</f>
        <v>JWDDCD2025052800131</v>
      </c>
      <c r="E3200" s="40" t="str">
        <f>VLOOKUP(F3200,辅助信息!A:B,2,FALSE)</f>
        <v>盘螺</v>
      </c>
      <c r="F3200" s="40" t="s">
        <v>41</v>
      </c>
      <c r="G3200" s="36">
        <v>7.5</v>
      </c>
      <c r="H3200" s="134">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09" t="str">
        <f>VLOOKUP(B3200,辅助信息!E:J,6,FALSE)</f>
        <v>控制炉批号！多了现场不收！,优先安排达钢,提前联系到场规格及数量</v>
      </c>
      <c r="M3200" s="91">
        <v>45904</v>
      </c>
      <c r="O3200" s="62">
        <f ca="1" t="shared" si="182"/>
        <v>0</v>
      </c>
      <c r="P3200" s="62">
        <f ca="1" t="shared" si="183"/>
        <v>56</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2" t="s">
        <v>213</v>
      </c>
      <c r="B3201" s="40" t="s">
        <v>147</v>
      </c>
      <c r="C3201" s="70">
        <v>45903</v>
      </c>
      <c r="D3201" s="40" t="str">
        <f>VLOOKUP(B3201,辅助信息!E:K,7,FALSE)</f>
        <v>JWDDCD2025052800131</v>
      </c>
      <c r="E3201" s="40" t="str">
        <f>VLOOKUP(F3201,辅助信息!A:B,2,FALSE)</f>
        <v>螺纹钢</v>
      </c>
      <c r="F3201" s="135" t="s">
        <v>27</v>
      </c>
      <c r="G3201" s="36">
        <v>9</v>
      </c>
      <c r="H3201" s="134">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09" t="str">
        <f>VLOOKUP(B3201,辅助信息!E:J,6,FALSE)</f>
        <v>控制炉批号！多了现场不收！,优先安排达钢,提前联系到场规格及数量</v>
      </c>
      <c r="M3201" s="91">
        <v>45904</v>
      </c>
      <c r="O3201" s="62">
        <f ca="1" t="shared" si="182"/>
        <v>0</v>
      </c>
      <c r="P3201" s="62">
        <f ca="1" t="shared" si="183"/>
        <v>56</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2"/>
      <c r="B3202" s="40" t="s">
        <v>147</v>
      </c>
      <c r="C3202" s="70">
        <v>45903</v>
      </c>
      <c r="D3202" s="40" t="str">
        <f>VLOOKUP(B3202,辅助信息!E:K,7,FALSE)</f>
        <v>JWDDCD2025052800131</v>
      </c>
      <c r="E3202" s="40" t="str">
        <f>VLOOKUP(F3202,辅助信息!A:B,2,FALSE)</f>
        <v>盘螺</v>
      </c>
      <c r="F3202" s="40" t="s">
        <v>40</v>
      </c>
      <c r="G3202" s="36">
        <v>15</v>
      </c>
      <c r="H3202" s="134">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09" t="str">
        <f>VLOOKUP(B3202,辅助信息!E:J,6,FALSE)</f>
        <v>控制炉批号！多了现场不收！,优先安排达钢,提前联系到场规格及数量</v>
      </c>
      <c r="M3202" s="91">
        <v>45904</v>
      </c>
      <c r="O3202" s="62">
        <f ca="1" t="shared" si="182"/>
        <v>0</v>
      </c>
      <c r="P3202" s="62">
        <f ca="1" t="shared" si="183"/>
        <v>56</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2"/>
      <c r="B3203" s="40" t="s">
        <v>147</v>
      </c>
      <c r="C3203" s="70">
        <v>45903</v>
      </c>
      <c r="D3203" s="40" t="str">
        <f>VLOOKUP(B3203,辅助信息!E:K,7,FALSE)</f>
        <v>JWDDCD2025052800131</v>
      </c>
      <c r="E3203" s="40" t="str">
        <f>VLOOKUP(F3203,辅助信息!A:B,2,FALSE)</f>
        <v>螺纹钢</v>
      </c>
      <c r="F3203" s="40" t="s">
        <v>58</v>
      </c>
      <c r="G3203" s="36">
        <v>12</v>
      </c>
      <c r="H3203" s="134">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09" t="str">
        <f>VLOOKUP(B3203,辅助信息!E:J,6,FALSE)</f>
        <v>控制炉批号！多了现场不收！,优先安排达钢,提前联系到场规格及数量</v>
      </c>
      <c r="M3203" s="91">
        <v>45904</v>
      </c>
      <c r="O3203" s="62">
        <f ca="1" t="shared" si="182"/>
        <v>0</v>
      </c>
      <c r="P3203" s="62">
        <f ca="1" t="shared" si="183"/>
        <v>56</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2"/>
      <c r="B3204" s="40" t="s">
        <v>147</v>
      </c>
      <c r="C3204" s="70">
        <v>45903</v>
      </c>
      <c r="D3204" s="40" t="str">
        <f>VLOOKUP(B3204,辅助信息!E:K,7,FALSE)</f>
        <v>JWDDCD2025052800131</v>
      </c>
      <c r="E3204" s="40" t="str">
        <f>VLOOKUP(F3204,辅助信息!A:B,2,FALSE)</f>
        <v>螺纹钢</v>
      </c>
      <c r="F3204" s="40" t="s">
        <v>46</v>
      </c>
      <c r="G3204" s="36">
        <v>9</v>
      </c>
      <c r="H3204" s="134">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09" t="str">
        <f>VLOOKUP(B3204,辅助信息!E:J,6,FALSE)</f>
        <v>控制炉批号！多了现场不收！,优先安排达钢,提前联系到场规格及数量</v>
      </c>
      <c r="M3204" s="91">
        <v>45904</v>
      </c>
      <c r="O3204" s="62">
        <f ca="1" t="shared" si="182"/>
        <v>0</v>
      </c>
      <c r="P3204" s="62">
        <f ca="1" t="shared" si="183"/>
        <v>56</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2"/>
      <c r="B3205" s="40" t="s">
        <v>147</v>
      </c>
      <c r="C3205" s="70">
        <v>45903</v>
      </c>
      <c r="D3205" s="40" t="str">
        <f>VLOOKUP(B3205,辅助信息!E:K,7,FALSE)</f>
        <v>JWDDCD2025052800131</v>
      </c>
      <c r="E3205" s="40" t="str">
        <f>VLOOKUP(F3205,辅助信息!A:B,2,FALSE)</f>
        <v>螺纹钢</v>
      </c>
      <c r="F3205" s="40" t="s">
        <v>22</v>
      </c>
      <c r="G3205" s="36">
        <v>9</v>
      </c>
      <c r="H3205" s="134">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09" t="str">
        <f>VLOOKUP(B3205,辅助信息!E:J,6,FALSE)</f>
        <v>控制炉批号！多了现场不收！,优先安排达钢,提前联系到场规格及数量</v>
      </c>
      <c r="M3205" s="91">
        <v>45904</v>
      </c>
      <c r="O3205" s="62">
        <f ca="1" t="shared" si="182"/>
        <v>0</v>
      </c>
      <c r="P3205" s="62">
        <f ca="1" t="shared" si="183"/>
        <v>56</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2" t="s">
        <v>100</v>
      </c>
      <c r="B3206" s="40" t="s">
        <v>147</v>
      </c>
      <c r="C3206" s="70">
        <v>45903</v>
      </c>
      <c r="D3206" s="40" t="str">
        <f>VLOOKUP(B3206,辅助信息!E:K,7,FALSE)</f>
        <v>JWDDCD2025052800131</v>
      </c>
      <c r="E3206" s="40" t="str">
        <f>VLOOKUP(F3206,辅助信息!A:B,2,FALSE)</f>
        <v>螺纹钢</v>
      </c>
      <c r="F3206" s="40" t="s">
        <v>30</v>
      </c>
      <c r="G3206" s="36">
        <v>15</v>
      </c>
      <c r="H3206" s="134">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09" t="str">
        <f>VLOOKUP(B3206,辅助信息!E:J,6,FALSE)</f>
        <v>控制炉批号！多了现场不收！,优先安排达钢,提前联系到场规格及数量</v>
      </c>
      <c r="M3206" s="91">
        <v>45903</v>
      </c>
      <c r="O3206" s="62">
        <f ca="1" t="shared" si="182"/>
        <v>0</v>
      </c>
      <c r="P3206" s="62">
        <f ca="1" t="shared" si="183"/>
        <v>57</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2"/>
      <c r="B3207" s="40" t="s">
        <v>147</v>
      </c>
      <c r="C3207" s="70">
        <v>45903</v>
      </c>
      <c r="D3207" s="40" t="str">
        <f>VLOOKUP(B3207,辅助信息!E:K,7,FALSE)</f>
        <v>JWDDCD2025052800131</v>
      </c>
      <c r="E3207" s="40" t="str">
        <f>VLOOKUP(F3207,辅助信息!A:B,2,FALSE)</f>
        <v>盘螺</v>
      </c>
      <c r="F3207" s="40" t="s">
        <v>40</v>
      </c>
      <c r="G3207" s="36">
        <v>20</v>
      </c>
      <c r="H3207" s="134">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09" t="str">
        <f>VLOOKUP(B3207,辅助信息!E:J,6,FALSE)</f>
        <v>控制炉批号！多了现场不收！,优先安排达钢,提前联系到场规格及数量</v>
      </c>
      <c r="M3207" s="91"/>
      <c r="O3207" s="62" t="str">
        <f ca="1" t="shared" si="182"/>
        <v/>
      </c>
      <c r="P3207" s="62"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2"/>
      <c r="B3208" s="40" t="s">
        <v>147</v>
      </c>
      <c r="C3208" s="70">
        <v>45903</v>
      </c>
      <c r="D3208" s="40" t="str">
        <f>VLOOKUP(B3208,辅助信息!E:K,7,FALSE)</f>
        <v>JWDDCD2025052800131</v>
      </c>
      <c r="E3208" s="40" t="str">
        <f>VLOOKUP(F3208,辅助信息!A:B,2,FALSE)</f>
        <v>螺纹钢</v>
      </c>
      <c r="F3208" s="40" t="s">
        <v>21</v>
      </c>
      <c r="G3208" s="36">
        <v>20</v>
      </c>
      <c r="H3208" s="134">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09" t="str">
        <f>VLOOKUP(B3208,辅助信息!E:J,6,FALSE)</f>
        <v>控制炉批号！多了现场不收！,优先安排达钢,提前联系到场规格及数量</v>
      </c>
      <c r="M3208" s="91">
        <v>45903</v>
      </c>
      <c r="O3208" s="62">
        <f ca="1" t="shared" si="182"/>
        <v>0</v>
      </c>
      <c r="P3208" s="62">
        <f ca="1" t="shared" si="183"/>
        <v>57</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2"/>
      <c r="B3209" s="40" t="s">
        <v>147</v>
      </c>
      <c r="C3209" s="70">
        <v>45903</v>
      </c>
      <c r="D3209" s="40" t="str">
        <f>VLOOKUP(B3209,辅助信息!E:K,7,FALSE)</f>
        <v>JWDDCD2025052800131</v>
      </c>
      <c r="E3209" s="40" t="str">
        <f>VLOOKUP(F3209,辅助信息!A:B,2,FALSE)</f>
        <v>盘螺</v>
      </c>
      <c r="F3209" s="40" t="s">
        <v>40</v>
      </c>
      <c r="G3209" s="36">
        <v>15</v>
      </c>
      <c r="H3209" s="134">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09" t="str">
        <f>VLOOKUP(B3209,辅助信息!E:J,6,FALSE)</f>
        <v>控制炉批号！多了现场不收！,优先安排达钢,提前联系到场规格及数量</v>
      </c>
      <c r="M3209" s="91"/>
      <c r="O3209" s="62" t="str">
        <f ca="1" t="shared" si="182"/>
        <v/>
      </c>
      <c r="P3209" s="62"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2"/>
      <c r="B3210" s="40" t="s">
        <v>180</v>
      </c>
      <c r="C3210" s="70">
        <v>45903</v>
      </c>
      <c r="D3210" s="40" t="str">
        <f>VLOOKUP(B3210,辅助信息!E:K,7,FALSE)</f>
        <v>JWDDCD2025052800131</v>
      </c>
      <c r="E3210" s="40" t="str">
        <f>VLOOKUP(F3210,辅助信息!A:B,2,FALSE)</f>
        <v>螺纹钢</v>
      </c>
      <c r="F3210" s="40" t="s">
        <v>30</v>
      </c>
      <c r="G3210" s="36">
        <v>20</v>
      </c>
      <c r="H3210" s="134">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09" t="str">
        <f>VLOOKUP(B3210,辅助信息!E:J,6,FALSE)</f>
        <v>控制炉批号！多了现场不收！,优先安排达钢,提前联系到场规格及数量</v>
      </c>
      <c r="M3210" s="91">
        <v>45903</v>
      </c>
      <c r="O3210" s="62">
        <f ca="1" t="shared" si="182"/>
        <v>0</v>
      </c>
      <c r="P3210" s="62">
        <f ca="1" t="shared" si="183"/>
        <v>57</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2"/>
      <c r="B3211" s="40" t="s">
        <v>180</v>
      </c>
      <c r="C3211" s="70">
        <v>45903</v>
      </c>
      <c r="D3211" s="40" t="str">
        <f>VLOOKUP(B3211,辅助信息!E:K,7,FALSE)</f>
        <v>JWDDCD2025052800131</v>
      </c>
      <c r="E3211" s="40" t="str">
        <f>VLOOKUP(F3211,辅助信息!A:B,2,FALSE)</f>
        <v>盘螺</v>
      </c>
      <c r="F3211" s="40" t="s">
        <v>40</v>
      </c>
      <c r="G3211" s="36">
        <v>15</v>
      </c>
      <c r="H3211" s="134">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09" t="str">
        <f>VLOOKUP(B3211,辅助信息!E:J,6,FALSE)</f>
        <v>控制炉批号！多了现场不收！,优先安排达钢,提前联系到场规格及数量</v>
      </c>
      <c r="M3211" s="91"/>
      <c r="O3211" s="62" t="str">
        <f ca="1" t="shared" si="182"/>
        <v/>
      </c>
      <c r="P3211" s="62"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2"/>
      <c r="B3212" s="40" t="s">
        <v>180</v>
      </c>
      <c r="C3212" s="70">
        <v>45903</v>
      </c>
      <c r="D3212" s="40" t="str">
        <f>VLOOKUP(B3212,辅助信息!E:K,7,FALSE)</f>
        <v>JWDDCD2025052800131</v>
      </c>
      <c r="E3212" s="40" t="str">
        <f>VLOOKUP(F3212,辅助信息!A:B,2,FALSE)</f>
        <v>螺纹钢</v>
      </c>
      <c r="F3212" s="40" t="s">
        <v>21</v>
      </c>
      <c r="G3212" s="36">
        <v>15</v>
      </c>
      <c r="H3212" s="134">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09" t="str">
        <f>VLOOKUP(B3212,辅助信息!E:J,6,FALSE)</f>
        <v>控制炉批号！多了现场不收！,优先安排达钢,提前联系到场规格及数量</v>
      </c>
      <c r="M3212" s="91">
        <v>45903</v>
      </c>
      <c r="O3212" s="62">
        <f ca="1" t="shared" si="182"/>
        <v>0</v>
      </c>
      <c r="P3212" s="62">
        <f ca="1" t="shared" si="183"/>
        <v>57</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2"/>
      <c r="B3213" s="40" t="s">
        <v>180</v>
      </c>
      <c r="C3213" s="70">
        <v>45903</v>
      </c>
      <c r="D3213" s="40" t="str">
        <f>VLOOKUP(B3213,辅助信息!E:K,7,FALSE)</f>
        <v>JWDDCD2025052800131</v>
      </c>
      <c r="E3213" s="40" t="str">
        <f>VLOOKUP(F3213,辅助信息!A:B,2,FALSE)</f>
        <v>盘螺</v>
      </c>
      <c r="F3213" s="40" t="s">
        <v>40</v>
      </c>
      <c r="G3213" s="36">
        <v>20</v>
      </c>
      <c r="H3213" s="134">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09" t="str">
        <f>VLOOKUP(B3213,辅助信息!E:J,6,FALSE)</f>
        <v>控制炉批号！多了现场不收！,优先安排达钢,提前联系到场规格及数量</v>
      </c>
      <c r="M3213" s="91"/>
      <c r="O3213" s="62" t="str">
        <f ca="1" t="shared" si="182"/>
        <v/>
      </c>
      <c r="P3213" s="62"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7" t="s">
        <v>160</v>
      </c>
      <c r="C3214" s="68">
        <v>45903</v>
      </c>
      <c r="D3214" s="67" t="str">
        <f>VLOOKUP(B3214,辅助信息!E:K,7,FALSE)</f>
        <v>JWDDCD2025071500024</v>
      </c>
      <c r="E3214" s="67" t="str">
        <f>VLOOKUP(F3214,辅助信息!A:B,2,FALSE)</f>
        <v>盘螺</v>
      </c>
      <c r="F3214" s="67" t="s">
        <v>49</v>
      </c>
      <c r="G3214" s="69">
        <v>7.5</v>
      </c>
      <c r="H3214" s="134">
        <f>IF(SUMIFS('[1]2025年已发货'!$E:$E,'[1]2025年已发货'!$F:$F,C3214,'[1]2025年已发货'!$C:$C,F3214,'[1]2025年已发货'!$G:$G,I3214,'[1]2025年已发货'!$H:$H,J3214)=0,"未发货",SUMIFS('[1]2025年已发货'!$E:$E,'[1]2025年已发货'!$F:$F,C3214,'[1]2025年已发货'!$C:$C,F3214,'[1]2025年已发货'!$G:$G,I3214,'[1]2025年已发货'!$H:$H,J3214))</f>
        <v>7.5</v>
      </c>
      <c r="I3214" s="67"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09" t="str">
        <f>VLOOKUP(B3214,辅助信息!E:J,6,FALSE)</f>
        <v>炉批号尽可能不要多</v>
      </c>
      <c r="M3214" s="91">
        <v>45906</v>
      </c>
      <c r="O3214" s="62">
        <f ca="1" t="shared" si="182"/>
        <v>0</v>
      </c>
      <c r="P3214" s="62">
        <f ca="1" t="shared" si="183"/>
        <v>54</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0">
        <v>45903</v>
      </c>
      <c r="D3215" s="40" t="str">
        <f>VLOOKUP(B3215,辅助信息!E:K,7,FALSE)</f>
        <v>JWDDCD2025071500024</v>
      </c>
      <c r="E3215" s="40" t="str">
        <f>VLOOKUP(F3215,辅助信息!A:B,2,FALSE)</f>
        <v>盘螺</v>
      </c>
      <c r="F3215" s="40" t="s">
        <v>40</v>
      </c>
      <c r="G3215" s="36">
        <v>55</v>
      </c>
      <c r="H3215" s="134">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09" t="str">
        <f>VLOOKUP(B3215,辅助信息!E:J,6,FALSE)</f>
        <v>炉批号尽可能不要多</v>
      </c>
      <c r="M3215" s="91">
        <v>45906</v>
      </c>
      <c r="O3215" s="62">
        <f ca="1" t="shared" si="182"/>
        <v>0</v>
      </c>
      <c r="P3215" s="62">
        <f ca="1" t="shared" si="183"/>
        <v>54</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0">
        <v>45903</v>
      </c>
      <c r="D3216" s="40" t="str">
        <f>VLOOKUP(B3216,辅助信息!E:K,7,FALSE)</f>
        <v>JWDDCD2025071500024</v>
      </c>
      <c r="E3216" s="40" t="str">
        <f>VLOOKUP(F3216,辅助信息!A:B,2,FALSE)</f>
        <v>盘螺</v>
      </c>
      <c r="F3216" s="40" t="s">
        <v>41</v>
      </c>
      <c r="G3216" s="36">
        <v>17.5</v>
      </c>
      <c r="H3216" s="134">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09" t="str">
        <f>VLOOKUP(B3216,辅助信息!E:J,6,FALSE)</f>
        <v>炉批号尽可能不要多</v>
      </c>
      <c r="M3216" s="91">
        <v>45906</v>
      </c>
      <c r="O3216" s="62">
        <f ca="1" t="shared" si="182"/>
        <v>0</v>
      </c>
      <c r="P3216" s="62">
        <f ca="1" t="shared" si="183"/>
        <v>54</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0">
        <v>45903</v>
      </c>
      <c r="D3217" s="40" t="str">
        <f>VLOOKUP(B3217,辅助信息!E:K,7,FALSE)</f>
        <v>JWDDCD2025071500024</v>
      </c>
      <c r="E3217" s="40" t="str">
        <f>VLOOKUP(F3217,辅助信息!A:B,2,FALSE)</f>
        <v>盘螺</v>
      </c>
      <c r="F3217" s="40" t="s">
        <v>26</v>
      </c>
      <c r="G3217" s="36">
        <v>15</v>
      </c>
      <c r="H3217" s="134">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09" t="str">
        <f>VLOOKUP(B3217,辅助信息!E:J,6,FALSE)</f>
        <v>炉批号尽可能不要多</v>
      </c>
      <c r="M3217" s="91">
        <v>45906</v>
      </c>
      <c r="O3217" s="62">
        <f ca="1" t="shared" si="182"/>
        <v>0</v>
      </c>
      <c r="P3217" s="62">
        <f ca="1" t="shared" si="183"/>
        <v>54</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0">
        <v>45903</v>
      </c>
      <c r="D3218" s="40" t="str">
        <f>VLOOKUP(B3218,辅助信息!E:K,7,FALSE)</f>
        <v>JWDDCD2025071500024</v>
      </c>
      <c r="E3218" s="40" t="str">
        <f>VLOOKUP(F3218,辅助信息!A:B,2,FALSE)</f>
        <v>螺纹钢</v>
      </c>
      <c r="F3218" s="40" t="s">
        <v>19</v>
      </c>
      <c r="G3218" s="36">
        <v>3</v>
      </c>
      <c r="H3218" s="134"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09" t="str">
        <f>VLOOKUP(B3218,辅助信息!E:J,6,FALSE)</f>
        <v>炉批号尽可能不要多</v>
      </c>
      <c r="M3218" s="91">
        <v>45906</v>
      </c>
      <c r="O3218" s="62">
        <f ca="1" t="shared" si="182"/>
        <v>0</v>
      </c>
      <c r="P3218" s="62">
        <f ca="1" t="shared" si="183"/>
        <v>54</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0">
        <v>45903</v>
      </c>
      <c r="D3219" s="40" t="str">
        <f>VLOOKUP(B3219,辅助信息!E:K,7,FALSE)</f>
        <v>JWDDCD2025071500024</v>
      </c>
      <c r="E3219" s="40" t="str">
        <f>VLOOKUP(F3219,辅助信息!A:B,2,FALSE)</f>
        <v>螺纹钢</v>
      </c>
      <c r="F3219" s="40" t="s">
        <v>32</v>
      </c>
      <c r="G3219" s="36">
        <v>12</v>
      </c>
      <c r="H3219" s="134"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09" t="str">
        <f>VLOOKUP(B3219,辅助信息!E:J,6,FALSE)</f>
        <v>炉批号尽可能不要多</v>
      </c>
      <c r="M3219" s="91">
        <v>45906</v>
      </c>
      <c r="O3219" s="62">
        <f ca="1" t="shared" si="182"/>
        <v>0</v>
      </c>
      <c r="P3219" s="62">
        <f ca="1" t="shared" si="183"/>
        <v>54</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0">
        <v>45903</v>
      </c>
      <c r="D3220" s="40" t="str">
        <f>VLOOKUP(B3220,辅助信息!E:K,7,FALSE)</f>
        <v>JWDDCD2025071500024</v>
      </c>
      <c r="E3220" s="40" t="str">
        <f>VLOOKUP(F3220,辅助信息!A:B,2,FALSE)</f>
        <v>螺纹钢</v>
      </c>
      <c r="F3220" s="40" t="s">
        <v>30</v>
      </c>
      <c r="G3220" s="36">
        <v>9</v>
      </c>
      <c r="H3220" s="134"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09" t="str">
        <f>VLOOKUP(B3220,辅助信息!E:J,6,FALSE)</f>
        <v>炉批号尽可能不要多</v>
      </c>
      <c r="M3220" s="91">
        <v>45906</v>
      </c>
      <c r="O3220" s="62">
        <f ca="1" t="shared" si="182"/>
        <v>0</v>
      </c>
      <c r="P3220" s="62">
        <f ca="1" t="shared" si="183"/>
        <v>54</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0">
        <v>45903</v>
      </c>
      <c r="D3221" s="40" t="str">
        <f>VLOOKUP(B3221,辅助信息!E:K,7,FALSE)</f>
        <v>JWDDCD2025071500024</v>
      </c>
      <c r="E3221" s="40" t="str">
        <f>VLOOKUP(F3221,辅助信息!A:B,2,FALSE)</f>
        <v>螺纹钢</v>
      </c>
      <c r="F3221" s="40" t="s">
        <v>33</v>
      </c>
      <c r="G3221" s="36">
        <v>30</v>
      </c>
      <c r="H3221" s="134"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09" t="str">
        <f>VLOOKUP(B3221,辅助信息!E:J,6,FALSE)</f>
        <v>炉批号尽可能不要多</v>
      </c>
      <c r="M3221" s="91">
        <v>45906</v>
      </c>
      <c r="O3221" s="62">
        <f ca="1" t="shared" si="182"/>
        <v>0</v>
      </c>
      <c r="P3221" s="62">
        <f ca="1" t="shared" si="183"/>
        <v>54</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0">
        <v>45903</v>
      </c>
      <c r="D3222" s="40" t="str">
        <f>VLOOKUP(B3222,辅助信息!E:K,7,FALSE)</f>
        <v>JWDDCD2025071500024</v>
      </c>
      <c r="E3222" s="40" t="str">
        <f>VLOOKUP(F3222,辅助信息!A:B,2,FALSE)</f>
        <v>螺纹钢</v>
      </c>
      <c r="F3222" s="40" t="s">
        <v>28</v>
      </c>
      <c r="G3222" s="36">
        <v>21</v>
      </c>
      <c r="H3222" s="134"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09" t="str">
        <f>VLOOKUP(B3222,辅助信息!E:J,6,FALSE)</f>
        <v>炉批号尽可能不要多</v>
      </c>
      <c r="M3222" s="91">
        <v>45906</v>
      </c>
      <c r="O3222" s="62">
        <f ca="1" t="shared" si="182"/>
        <v>0</v>
      </c>
      <c r="P3222" s="62">
        <f ca="1" t="shared" si="183"/>
        <v>54</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0">
        <v>45903</v>
      </c>
      <c r="D3223" s="40" t="str">
        <f>VLOOKUP(B3223,辅助信息!E:K,7,FALSE)</f>
        <v>JWDDCD2025071500024</v>
      </c>
      <c r="E3223" s="40" t="str">
        <f>VLOOKUP(F3223,辅助信息!A:B,2,FALSE)</f>
        <v>螺纹钢</v>
      </c>
      <c r="F3223" s="40" t="s">
        <v>18</v>
      </c>
      <c r="G3223" s="36">
        <v>36</v>
      </c>
      <c r="H3223" s="134">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09" t="str">
        <f>VLOOKUP(B3223,辅助信息!E:J,6,FALSE)</f>
        <v>炉批号尽可能不要多</v>
      </c>
      <c r="M3223" s="91">
        <v>45906</v>
      </c>
      <c r="O3223" s="62">
        <f ca="1" t="shared" si="182"/>
        <v>0</v>
      </c>
      <c r="P3223" s="62">
        <f ca="1" t="shared" si="183"/>
        <v>54</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0">
        <v>45903</v>
      </c>
      <c r="D3224" s="40" t="str">
        <f>VLOOKUP(B3224,辅助信息!E:K,7,FALSE)</f>
        <v>JWDDCD2025071500024</v>
      </c>
      <c r="E3224" s="40" t="str">
        <f>VLOOKUP(F3224,辅助信息!A:B,2,FALSE)</f>
        <v>螺纹钢</v>
      </c>
      <c r="F3224" s="40" t="s">
        <v>65</v>
      </c>
      <c r="G3224" s="36">
        <v>3</v>
      </c>
      <c r="H3224" s="134">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09" t="str">
        <f>VLOOKUP(B3224,辅助信息!E:J,6,FALSE)</f>
        <v>炉批号尽可能不要多</v>
      </c>
      <c r="M3224" s="91">
        <v>45906</v>
      </c>
      <c r="O3224" s="62">
        <f ca="1" t="shared" si="182"/>
        <v>0</v>
      </c>
      <c r="P3224" s="62">
        <f ca="1" t="shared" si="183"/>
        <v>54</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0">
        <v>45903</v>
      </c>
      <c r="D3225" s="40" t="str">
        <f>VLOOKUP(B3225,辅助信息!E:K,7,FALSE)</f>
        <v>JWDDCD2025072900123</v>
      </c>
      <c r="E3225" s="40" t="str">
        <f>VLOOKUP(F3225,辅助信息!A:B,2,FALSE)</f>
        <v>螺纹钢</v>
      </c>
      <c r="F3225" s="40" t="s">
        <v>90</v>
      </c>
      <c r="G3225" s="36">
        <v>8</v>
      </c>
      <c r="H3225" s="134"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09" t="str">
        <f>VLOOKUP(B3225,辅助信息!E:J,6,FALSE)</f>
        <v>联系实际收货人（彭江涛13990276572）现场要求炉批号控制2个以下，超2个不给予签收。提前联系到场规格及数量</v>
      </c>
      <c r="M3225" s="91">
        <v>45903</v>
      </c>
      <c r="O3225" s="62">
        <f ca="1" t="shared" si="182"/>
        <v>0</v>
      </c>
      <c r="P3225" s="62">
        <f ca="1" t="shared" si="183"/>
        <v>57</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0">
        <v>45903</v>
      </c>
      <c r="D3226" s="40" t="str">
        <f>VLOOKUP(B3226,辅助信息!E:K,7,FALSE)</f>
        <v>JWDDCD2025072900123</v>
      </c>
      <c r="E3226" s="40" t="str">
        <f>VLOOKUP(F3226,辅助信息!A:B,2,FALSE)</f>
        <v>螺纹钢</v>
      </c>
      <c r="F3226" s="40" t="s">
        <v>130</v>
      </c>
      <c r="G3226" s="36">
        <v>5</v>
      </c>
      <c r="H3226" s="134"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09" t="str">
        <f>VLOOKUP(B3226,辅助信息!E:J,6,FALSE)</f>
        <v>联系实际收货人（彭江涛13990276572）现场要求炉批号控制2个以下，超2个不给予签收。提前联系到场规格及数量</v>
      </c>
      <c r="M3226" s="91">
        <v>45903</v>
      </c>
      <c r="O3226" s="62">
        <f ca="1" t="shared" si="182"/>
        <v>0</v>
      </c>
      <c r="P3226" s="62">
        <f ca="1" t="shared" si="183"/>
        <v>57</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0">
        <v>45903</v>
      </c>
      <c r="D3227" s="40" t="str">
        <f>VLOOKUP(B3227,辅助信息!E:K,7,FALSE)</f>
        <v>JWDDCD2025072900123</v>
      </c>
      <c r="E3227" s="40" t="str">
        <f>VLOOKUP(F3227,辅助信息!A:B,2,FALSE)</f>
        <v>螺纹钢</v>
      </c>
      <c r="F3227" s="40" t="s">
        <v>138</v>
      </c>
      <c r="G3227" s="36">
        <v>5</v>
      </c>
      <c r="H3227" s="134"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09" t="str">
        <f>VLOOKUP(B3227,辅助信息!E:J,6,FALSE)</f>
        <v>联系实际收货人（彭江涛13990276572）现场要求炉批号控制2个以下，超2个不给予签收。提前联系到场规格及数量</v>
      </c>
      <c r="M3227" s="91">
        <v>45903</v>
      </c>
      <c r="O3227" s="62">
        <f ca="1" t="shared" si="182"/>
        <v>0</v>
      </c>
      <c r="P3227" s="62">
        <f ca="1" t="shared" si="183"/>
        <v>57</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0">
        <v>45903</v>
      </c>
      <c r="D3228" s="40" t="str">
        <f>VLOOKUP(B3228,辅助信息!E:K,7,FALSE)</f>
        <v>JWDDCD2025062200016</v>
      </c>
      <c r="E3228" s="40" t="str">
        <f>VLOOKUP(F3228,辅助信息!A:B,2,FALSE)</f>
        <v>盘螺</v>
      </c>
      <c r="F3228" s="40" t="s">
        <v>40</v>
      </c>
      <c r="G3228" s="36">
        <v>2</v>
      </c>
      <c r="H3228" s="134"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09" t="str">
        <f>VLOOKUP(B3228,辅助信息!E:J,6,FALSE)</f>
        <v>锈货不收！！下雨天钢筋没盖篷布不收！！，装货前联系收货人核实到场规格,没提前告知进场规格现场不给予接收</v>
      </c>
      <c r="M3228" s="91">
        <v>45905</v>
      </c>
      <c r="O3228" s="62">
        <f ca="1" t="shared" si="182"/>
        <v>0</v>
      </c>
      <c r="P3228" s="62">
        <f ca="1" t="shared" si="183"/>
        <v>55</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0">
        <v>45903</v>
      </c>
      <c r="D3229" s="40" t="str">
        <f>VLOOKUP(B3229,辅助信息!E:K,7,FALSE)</f>
        <v>JWDDCD2025062200016</v>
      </c>
      <c r="E3229" s="40" t="str">
        <f>VLOOKUP(F3229,辅助信息!A:B,2,FALSE)</f>
        <v>盘螺</v>
      </c>
      <c r="F3229" s="40" t="s">
        <v>41</v>
      </c>
      <c r="G3229" s="36">
        <v>4</v>
      </c>
      <c r="H3229" s="134"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09" t="str">
        <f>VLOOKUP(B3229,辅助信息!E:J,6,FALSE)</f>
        <v>锈货不收！！下雨天钢筋没盖篷布不收！！，装货前联系收货人核实到场规格,没提前告知进场规格现场不给予接收</v>
      </c>
      <c r="M3229" s="91">
        <v>45905</v>
      </c>
      <c r="O3229" s="62">
        <f ca="1" t="shared" si="182"/>
        <v>0</v>
      </c>
      <c r="P3229" s="62">
        <f ca="1" t="shared" si="183"/>
        <v>55</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0">
        <v>45903</v>
      </c>
      <c r="D3230" s="40" t="str">
        <f>VLOOKUP(B3230,辅助信息!E:K,7,FALSE)</f>
        <v>JWDDCD2025062200016</v>
      </c>
      <c r="E3230" s="40" t="str">
        <f>VLOOKUP(F3230,辅助信息!A:B,2,FALSE)</f>
        <v>螺纹钢</v>
      </c>
      <c r="F3230" s="40" t="s">
        <v>28</v>
      </c>
      <c r="G3230" s="36">
        <v>6</v>
      </c>
      <c r="H3230" s="134"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09" t="str">
        <f>VLOOKUP(B3230,辅助信息!E:J,6,FALSE)</f>
        <v>锈货不收！！下雨天钢筋没盖篷布不收！！，装货前联系收货人核实到场规格,没提前告知进场规格现场不给予接收</v>
      </c>
      <c r="M3230" s="91">
        <v>45905</v>
      </c>
      <c r="O3230" s="62">
        <f ca="1" t="shared" si="182"/>
        <v>0</v>
      </c>
      <c r="P3230" s="62">
        <f ca="1" t="shared" si="183"/>
        <v>55</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0">
        <v>45903</v>
      </c>
      <c r="D3231" s="40" t="str">
        <f>VLOOKUP(B3231,辅助信息!E:K,7,FALSE)</f>
        <v>JWDDCD2025062200016</v>
      </c>
      <c r="E3231" s="40" t="str">
        <f>VLOOKUP(F3231,辅助信息!A:B,2,FALSE)</f>
        <v>螺纹钢</v>
      </c>
      <c r="F3231" s="40" t="s">
        <v>18</v>
      </c>
      <c r="G3231" s="36">
        <v>14</v>
      </c>
      <c r="H3231" s="134"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09" t="str">
        <f>VLOOKUP(B3231,辅助信息!E:J,6,FALSE)</f>
        <v>锈货不收！！下雨天钢筋没盖篷布不收！！，装货前联系收货人核实到场规格,没提前告知进场规格现场不给予接收</v>
      </c>
      <c r="M3231" s="91">
        <v>45905</v>
      </c>
      <c r="O3231" s="62">
        <f ca="1" t="shared" si="182"/>
        <v>0</v>
      </c>
      <c r="P3231" s="62">
        <f ca="1" t="shared" si="183"/>
        <v>55</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0">
        <v>45903</v>
      </c>
      <c r="D3232" s="40" t="str">
        <f>VLOOKUP(B3232,辅助信息!E:K,7,FALSE)</f>
        <v>JWDDCD2025062200016</v>
      </c>
      <c r="E3232" s="40" t="str">
        <f>VLOOKUP(F3232,辅助信息!A:B,2,FALSE)</f>
        <v>螺纹钢</v>
      </c>
      <c r="F3232" s="40" t="s">
        <v>90</v>
      </c>
      <c r="G3232" s="36">
        <v>28</v>
      </c>
      <c r="H3232" s="134"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09" t="str">
        <f>VLOOKUP(B3232,辅助信息!E:J,6,FALSE)</f>
        <v>锈货不收！！下雨天钢筋没盖篷布不收！！，装货前联系收货人核实到场规格,没提前告知进场规格现场不给予接收</v>
      </c>
      <c r="M3232" s="91">
        <v>45905</v>
      </c>
      <c r="O3232" s="62">
        <f ca="1" t="shared" ref="O3232:O3295" si="184">IF(OR(M3232="",N3232&lt;&gt;""),"",MAX(M3232-TODAY(),0))</f>
        <v>0</v>
      </c>
      <c r="P3232" s="62">
        <f ca="1" t="shared" ref="P3232:P3295" si="185">IF(M3232="","",IF(N3232&lt;&gt;"",MAX(N3232-M3232,0),IF(TODAY()&gt;M3232,TODAY()-M3232,0)))</f>
        <v>55</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0">
        <v>45903</v>
      </c>
      <c r="D3233" s="40" t="str">
        <f>VLOOKUP(B3233,辅助信息!E:K,7,FALSE)</f>
        <v>JWDDCD2025102100476</v>
      </c>
      <c r="E3233" s="40" t="str">
        <f>VLOOKUP(F3233,辅助信息!A:B,2,FALSE)</f>
        <v>盘螺</v>
      </c>
      <c r="F3233" s="40" t="s">
        <v>40</v>
      </c>
      <c r="G3233" s="36">
        <v>2.5</v>
      </c>
      <c r="H3233" s="134">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09"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1">
        <v>45905</v>
      </c>
      <c r="O3233" s="62">
        <f ca="1" t="shared" si="184"/>
        <v>0</v>
      </c>
      <c r="P3233" s="62">
        <f ca="1" t="shared" si="185"/>
        <v>55</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0">
        <v>45903</v>
      </c>
      <c r="D3234" s="40" t="str">
        <f>VLOOKUP(B3234,辅助信息!E:K,7,FALSE)</f>
        <v>JWDDCD2025102100476</v>
      </c>
      <c r="E3234" s="40" t="str">
        <f>VLOOKUP(F3234,辅助信息!A:B,2,FALSE)</f>
        <v>螺纹钢</v>
      </c>
      <c r="F3234" s="40" t="s">
        <v>27</v>
      </c>
      <c r="G3234" s="36">
        <v>10</v>
      </c>
      <c r="H3234" s="134">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09"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1">
        <v>45905</v>
      </c>
      <c r="O3234" s="62">
        <f ca="1" t="shared" si="184"/>
        <v>0</v>
      </c>
      <c r="P3234" s="62">
        <f ca="1" t="shared" si="185"/>
        <v>55</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0">
        <v>45903</v>
      </c>
      <c r="D3235" s="40" t="str">
        <f>VLOOKUP(B3235,辅助信息!E:K,7,FALSE)</f>
        <v>JWDDCD2025102100476</v>
      </c>
      <c r="E3235" s="40" t="str">
        <f>VLOOKUP(F3235,辅助信息!A:B,2,FALSE)</f>
        <v>螺纹钢</v>
      </c>
      <c r="F3235" s="40" t="s">
        <v>19</v>
      </c>
      <c r="G3235" s="36">
        <v>50</v>
      </c>
      <c r="H3235" s="134">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09"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1">
        <v>45905</v>
      </c>
      <c r="O3235" s="62">
        <f ca="1" t="shared" si="184"/>
        <v>0</v>
      </c>
      <c r="P3235" s="62">
        <f ca="1" t="shared" si="185"/>
        <v>55</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0">
        <v>45903</v>
      </c>
      <c r="D3236" s="40" t="str">
        <f>VLOOKUP(B3236,辅助信息!E:K,7,FALSE)</f>
        <v>JWDDCD2025102100476</v>
      </c>
      <c r="E3236" s="40" t="str">
        <f>VLOOKUP(F3236,辅助信息!A:B,2,FALSE)</f>
        <v>螺纹钢</v>
      </c>
      <c r="F3236" s="40" t="s">
        <v>32</v>
      </c>
      <c r="G3236" s="36">
        <v>5</v>
      </c>
      <c r="H3236" s="134">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09"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1">
        <v>45905</v>
      </c>
      <c r="O3236" s="62">
        <f ca="1" t="shared" si="184"/>
        <v>0</v>
      </c>
      <c r="P3236" s="62">
        <f ca="1" t="shared" si="185"/>
        <v>55</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0">
        <v>45903</v>
      </c>
      <c r="D3237" s="40" t="str">
        <f>VLOOKUP(B3237,辅助信息!E:K,7,FALSE)</f>
        <v>JWDDCD2025102100476</v>
      </c>
      <c r="E3237" s="40" t="str">
        <f>VLOOKUP(F3237,辅助信息!A:B,2,FALSE)</f>
        <v>螺纹钢</v>
      </c>
      <c r="F3237" s="40" t="s">
        <v>30</v>
      </c>
      <c r="G3237" s="36">
        <v>5</v>
      </c>
      <c r="H3237" s="134">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09"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1">
        <v>45905</v>
      </c>
      <c r="O3237" s="62">
        <f ca="1" t="shared" si="184"/>
        <v>0</v>
      </c>
      <c r="P3237" s="62">
        <f ca="1" t="shared" si="185"/>
        <v>55</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0">
        <v>45903</v>
      </c>
      <c r="D3238" s="40" t="str">
        <f>VLOOKUP(B3238,辅助信息!E:K,7,FALSE)</f>
        <v>JWDDCD2025102100476</v>
      </c>
      <c r="E3238" s="40" t="str">
        <f>VLOOKUP(F3238,辅助信息!A:B,2,FALSE)</f>
        <v>螺纹钢</v>
      </c>
      <c r="F3238" s="40" t="s">
        <v>33</v>
      </c>
      <c r="G3238" s="36">
        <v>2.5</v>
      </c>
      <c r="H3238" s="134">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09"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1">
        <v>45905</v>
      </c>
      <c r="O3238" s="62">
        <f ca="1" t="shared" si="184"/>
        <v>0</v>
      </c>
      <c r="P3238" s="62">
        <f ca="1" t="shared" si="185"/>
        <v>55</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0">
        <v>45903</v>
      </c>
      <c r="D3239" s="40" t="str">
        <f>VLOOKUP(B3239,辅助信息!E:K,7,FALSE)</f>
        <v>JWDDCD2025102100476</v>
      </c>
      <c r="E3239" s="40" t="str">
        <f>VLOOKUP(F3239,辅助信息!A:B,2,FALSE)</f>
        <v>螺纹钢</v>
      </c>
      <c r="F3239" s="40" t="s">
        <v>28</v>
      </c>
      <c r="G3239" s="36">
        <v>2.5</v>
      </c>
      <c r="H3239" s="134">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09"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1">
        <v>45905</v>
      </c>
      <c r="O3239" s="62">
        <f ca="1" t="shared" si="184"/>
        <v>0</v>
      </c>
      <c r="P3239" s="62">
        <f ca="1" t="shared" si="185"/>
        <v>55</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0">
        <v>45903</v>
      </c>
      <c r="D3240" s="40" t="str">
        <f>VLOOKUP(B3240,辅助信息!E:K,7,FALSE)</f>
        <v>JWDDCD2025102100476</v>
      </c>
      <c r="E3240" s="40" t="str">
        <f>VLOOKUP(F3240,辅助信息!A:B,2,FALSE)</f>
        <v>螺纹钢</v>
      </c>
      <c r="F3240" s="40" t="s">
        <v>18</v>
      </c>
      <c r="G3240" s="36">
        <v>15</v>
      </c>
      <c r="H3240" s="134">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09"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1">
        <v>45905</v>
      </c>
      <c r="O3240" s="62">
        <f ca="1" t="shared" si="184"/>
        <v>0</v>
      </c>
      <c r="P3240" s="62">
        <f ca="1" t="shared" si="185"/>
        <v>55</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0">
        <v>45903</v>
      </c>
      <c r="D3241" s="40" t="str">
        <f>VLOOKUP(B3241,辅助信息!E:K,7,FALSE)</f>
        <v>JWDDCD2025102100476</v>
      </c>
      <c r="E3241" s="40" t="str">
        <f>VLOOKUP(F3241,辅助信息!A:B,2,FALSE)</f>
        <v>螺纹钢</v>
      </c>
      <c r="F3241" s="40" t="s">
        <v>65</v>
      </c>
      <c r="G3241" s="36">
        <v>12.5</v>
      </c>
      <c r="H3241" s="134">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09"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1">
        <v>45905</v>
      </c>
      <c r="O3241" s="62">
        <f ca="1" t="shared" si="184"/>
        <v>0</v>
      </c>
      <c r="P3241" s="62">
        <f ca="1" t="shared" si="185"/>
        <v>55</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0">
        <v>45903</v>
      </c>
      <c r="D3242" s="40" t="str">
        <f>VLOOKUP(B3242,辅助信息!E:K,7,FALSE)</f>
        <v>JWDDCD2025102100475</v>
      </c>
      <c r="E3242" s="40" t="str">
        <f>VLOOKUP(F3242,辅助信息!A:B,2,FALSE)</f>
        <v>螺纹钢</v>
      </c>
      <c r="F3242" s="40" t="s">
        <v>19</v>
      </c>
      <c r="G3242" s="36">
        <v>6</v>
      </c>
      <c r="H3242" s="134">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09"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1">
        <v>45905</v>
      </c>
      <c r="O3242" s="62">
        <f ca="1" t="shared" si="184"/>
        <v>0</v>
      </c>
      <c r="P3242" s="62">
        <f ca="1" t="shared" si="185"/>
        <v>55</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0">
        <v>45903</v>
      </c>
      <c r="D3243" s="40" t="str">
        <f>VLOOKUP(B3243,辅助信息!E:K,7,FALSE)</f>
        <v>JWDDCD2025102100475</v>
      </c>
      <c r="E3243" s="40" t="str">
        <f>VLOOKUP(F3243,辅助信息!A:B,2,FALSE)</f>
        <v>螺纹钢</v>
      </c>
      <c r="F3243" s="40" t="s">
        <v>32</v>
      </c>
      <c r="G3243" s="36">
        <v>6</v>
      </c>
      <c r="H3243" s="134">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09"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1">
        <v>45905</v>
      </c>
      <c r="O3243" s="62">
        <f ca="1" t="shared" si="184"/>
        <v>0</v>
      </c>
      <c r="P3243" s="62">
        <f ca="1" t="shared" si="185"/>
        <v>55</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0">
        <v>45903</v>
      </c>
      <c r="D3244" s="40" t="str">
        <f>VLOOKUP(B3244,辅助信息!E:K,7,FALSE)</f>
        <v>JWDDCD2025102100475</v>
      </c>
      <c r="E3244" s="40" t="str">
        <f>VLOOKUP(F3244,辅助信息!A:B,2,FALSE)</f>
        <v>螺纹钢</v>
      </c>
      <c r="F3244" s="40" t="s">
        <v>30</v>
      </c>
      <c r="G3244" s="36">
        <v>3</v>
      </c>
      <c r="H3244" s="134">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09"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1">
        <v>45905</v>
      </c>
      <c r="O3244" s="62">
        <f ca="1" t="shared" si="184"/>
        <v>0</v>
      </c>
      <c r="P3244" s="62">
        <f ca="1" t="shared" si="185"/>
        <v>55</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0">
        <v>45903</v>
      </c>
      <c r="D3245" s="40" t="str">
        <f>VLOOKUP(B3245,辅助信息!E:K,7,FALSE)</f>
        <v>JWDDCD2025102100475</v>
      </c>
      <c r="E3245" s="40" t="str">
        <f>VLOOKUP(F3245,辅助信息!A:B,2,FALSE)</f>
        <v>螺纹钢</v>
      </c>
      <c r="F3245" s="40" t="s">
        <v>33</v>
      </c>
      <c r="G3245" s="36">
        <v>6</v>
      </c>
      <c r="H3245" s="134">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09"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1">
        <v>45905</v>
      </c>
      <c r="O3245" s="62">
        <f ca="1" t="shared" si="184"/>
        <v>0</v>
      </c>
      <c r="P3245" s="62">
        <f ca="1" t="shared" si="185"/>
        <v>55</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0">
        <v>45903</v>
      </c>
      <c r="D3246" s="40" t="str">
        <f>VLOOKUP(B3246,辅助信息!E:K,7,FALSE)</f>
        <v>JWDDCD2025102100475</v>
      </c>
      <c r="E3246" s="40" t="str">
        <f>VLOOKUP(F3246,辅助信息!A:B,2,FALSE)</f>
        <v>螺纹钢</v>
      </c>
      <c r="F3246" s="40" t="s">
        <v>28</v>
      </c>
      <c r="G3246" s="36">
        <v>12</v>
      </c>
      <c r="H3246" s="134">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09"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1">
        <v>45905</v>
      </c>
      <c r="O3246" s="62">
        <f ca="1" t="shared" si="184"/>
        <v>0</v>
      </c>
      <c r="P3246" s="62">
        <f ca="1" t="shared" si="185"/>
        <v>55</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0">
        <v>45903</v>
      </c>
      <c r="D3247" s="40" t="str">
        <f>VLOOKUP(B3247,辅助信息!E:K,7,FALSE)</f>
        <v>JWDDCD2025102100486</v>
      </c>
      <c r="E3247" s="40" t="str">
        <f>VLOOKUP(F3247,辅助信息!A:B,2,FALSE)</f>
        <v>盘螺</v>
      </c>
      <c r="F3247" s="40" t="s">
        <v>49</v>
      </c>
      <c r="G3247" s="36">
        <v>2</v>
      </c>
      <c r="H3247" s="134">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09" t="str">
        <f>VLOOKUP(B3247,辅助信息!E:J,6,FALSE)</f>
        <v>联系实际收货人（孙敏13617695006）五冶建设送货单,6份材质书,锈货不收，装货前联系收货人核实到场规格,没提前告知进场规格现场不给予接收</v>
      </c>
      <c r="M3247" s="91">
        <v>45905</v>
      </c>
      <c r="O3247" s="62">
        <f ca="1" t="shared" si="184"/>
        <v>0</v>
      </c>
      <c r="P3247" s="62">
        <f ca="1" t="shared" si="185"/>
        <v>55</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0">
        <v>45903</v>
      </c>
      <c r="D3248" s="40" t="str">
        <f>VLOOKUP(B3248,辅助信息!E:K,7,FALSE)</f>
        <v>JWDDCD2025102100486</v>
      </c>
      <c r="E3248" s="40" t="str">
        <f>VLOOKUP(F3248,辅助信息!A:B,2,FALSE)</f>
        <v>盘螺</v>
      </c>
      <c r="F3248" s="40" t="s">
        <v>40</v>
      </c>
      <c r="G3248" s="36">
        <v>4</v>
      </c>
      <c r="H3248" s="134">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09" t="str">
        <f>VLOOKUP(B3248,辅助信息!E:J,6,FALSE)</f>
        <v>联系实际收货人（孙敏13617695006）五冶建设送货单,6份材质书,锈货不收，装货前联系收货人核实到场规格,没提前告知进场规格现场不给予接收</v>
      </c>
      <c r="M3248" s="91">
        <v>45905</v>
      </c>
      <c r="O3248" s="62">
        <f ca="1" t="shared" si="184"/>
        <v>0</v>
      </c>
      <c r="P3248" s="62">
        <f ca="1" t="shared" si="185"/>
        <v>55</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0">
        <v>45903</v>
      </c>
      <c r="D3249" s="40" t="str">
        <f>VLOOKUP(B3249,辅助信息!E:K,7,FALSE)</f>
        <v>JWDDCD2025102100486</v>
      </c>
      <c r="E3249" s="40" t="str">
        <f>VLOOKUP(F3249,辅助信息!A:B,2,FALSE)</f>
        <v>盘螺</v>
      </c>
      <c r="F3249" s="40" t="s">
        <v>41</v>
      </c>
      <c r="G3249" s="36">
        <v>8</v>
      </c>
      <c r="H3249" s="134">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09" t="str">
        <f>VLOOKUP(B3249,辅助信息!E:J,6,FALSE)</f>
        <v>联系实际收货人（孙敏13617695006）五冶建设送货单,6份材质书,锈货不收，装货前联系收货人核实到场规格,没提前告知进场规格现场不给予接收</v>
      </c>
      <c r="M3249" s="91">
        <v>45905</v>
      </c>
      <c r="O3249" s="62">
        <f ca="1" t="shared" si="184"/>
        <v>0</v>
      </c>
      <c r="P3249" s="62">
        <f ca="1" t="shared" si="185"/>
        <v>55</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0">
        <v>45903</v>
      </c>
      <c r="D3250" s="40" t="str">
        <f>VLOOKUP(B3250,辅助信息!E:K,7,FALSE)</f>
        <v>JWDDCD2025102100486</v>
      </c>
      <c r="E3250" s="40" t="str">
        <f>VLOOKUP(F3250,辅助信息!A:B,2,FALSE)</f>
        <v>螺纹钢</v>
      </c>
      <c r="F3250" s="135" t="s">
        <v>27</v>
      </c>
      <c r="G3250" s="36">
        <v>12</v>
      </c>
      <c r="H3250" s="134">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09" t="str">
        <f>VLOOKUP(B3250,辅助信息!E:J,6,FALSE)</f>
        <v>联系实际收货人（孙敏13617695006）五冶建设送货单,6份材质书,锈货不收，装货前联系收货人核实到场规格,没提前告知进场规格现场不给予接收</v>
      </c>
      <c r="M3250" s="91">
        <v>45905</v>
      </c>
      <c r="O3250" s="62">
        <f ca="1" t="shared" si="184"/>
        <v>0</v>
      </c>
      <c r="P3250" s="62">
        <f ca="1" t="shared" si="185"/>
        <v>55</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0">
        <v>45903</v>
      </c>
      <c r="D3251" s="40" t="str">
        <f>VLOOKUP(B3251,辅助信息!E:K,7,FALSE)</f>
        <v>JWDDCD2025102100486</v>
      </c>
      <c r="E3251" s="40" t="str">
        <f>VLOOKUP(F3251,辅助信息!A:B,2,FALSE)</f>
        <v>螺纹钢</v>
      </c>
      <c r="F3251" s="135" t="s">
        <v>19</v>
      </c>
      <c r="G3251" s="36">
        <v>10</v>
      </c>
      <c r="H3251" s="134">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09" t="str">
        <f>VLOOKUP(B3251,辅助信息!E:J,6,FALSE)</f>
        <v>联系实际收货人（孙敏13617695006）五冶建设送货单,6份材质书,锈货不收，装货前联系收货人核实到场规格,没提前告知进场规格现场不给予接收</v>
      </c>
      <c r="M3251" s="91">
        <v>45905</v>
      </c>
      <c r="O3251" s="62">
        <f ca="1" t="shared" si="184"/>
        <v>0</v>
      </c>
      <c r="P3251" s="62">
        <f ca="1" t="shared" si="185"/>
        <v>55</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5" t="s">
        <v>215</v>
      </c>
      <c r="C3252" s="143">
        <v>45903</v>
      </c>
      <c r="D3252" s="135" t="str">
        <f>VLOOKUP(B3252,辅助信息!E:K,7,FALSE)</f>
        <v>JWDDCD2025102100486</v>
      </c>
      <c r="E3252" s="135" t="str">
        <f>VLOOKUP(F3252,辅助信息!A:B,2,FALSE)</f>
        <v>螺纹钢</v>
      </c>
      <c r="F3252" s="135" t="s">
        <v>32</v>
      </c>
      <c r="G3252" s="146">
        <v>58</v>
      </c>
      <c r="H3252" s="134">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09" t="str">
        <f>VLOOKUP(B3252,辅助信息!E:J,6,FALSE)</f>
        <v>联系实际收货人（孙敏13617695006）五冶建设送货单,6份材质书,锈货不收，装货前联系收货人核实到场规格,没提前告知进场规格现场不给予接收</v>
      </c>
      <c r="M3252" s="91">
        <v>45905</v>
      </c>
      <c r="O3252" s="62">
        <f ca="1" t="shared" si="184"/>
        <v>0</v>
      </c>
      <c r="P3252" s="62">
        <f ca="1" t="shared" si="185"/>
        <v>55</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5" t="s">
        <v>215</v>
      </c>
      <c r="C3253" s="143">
        <v>45903</v>
      </c>
      <c r="D3253" s="135" t="str">
        <f>VLOOKUP(B3253,辅助信息!E:K,7,FALSE)</f>
        <v>JWDDCD2025102100486</v>
      </c>
      <c r="E3253" s="135" t="str">
        <f>VLOOKUP(F3253,辅助信息!A:B,2,FALSE)</f>
        <v>螺纹钢</v>
      </c>
      <c r="F3253" s="135" t="s">
        <v>30</v>
      </c>
      <c r="G3253" s="146">
        <v>12</v>
      </c>
      <c r="H3253" s="134">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09" t="str">
        <f>VLOOKUP(B3253,辅助信息!E:J,6,FALSE)</f>
        <v>联系实际收货人（孙敏13617695006）五冶建设送货单,6份材质书,锈货不收，装货前联系收货人核实到场规格,没提前告知进场规格现场不给予接收</v>
      </c>
      <c r="M3253" s="91">
        <v>45905</v>
      </c>
      <c r="O3253" s="62">
        <f ca="1" t="shared" si="184"/>
        <v>0</v>
      </c>
      <c r="P3253" s="62">
        <f ca="1" t="shared" si="185"/>
        <v>55</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5" t="s">
        <v>215</v>
      </c>
      <c r="C3254" s="143">
        <v>45903</v>
      </c>
      <c r="D3254" s="135" t="str">
        <f>VLOOKUP(B3254,辅助信息!E:K,7,FALSE)</f>
        <v>JWDDCD2025102100486</v>
      </c>
      <c r="E3254" s="135" t="str">
        <f>VLOOKUP(F3254,辅助信息!A:B,2,FALSE)</f>
        <v>螺纹钢</v>
      </c>
      <c r="F3254" s="135" t="s">
        <v>33</v>
      </c>
      <c r="G3254" s="146">
        <v>10</v>
      </c>
      <c r="H3254" s="134">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09" t="str">
        <f>VLOOKUP(B3254,辅助信息!E:J,6,FALSE)</f>
        <v>联系实际收货人（孙敏13617695006）五冶建设送货单,6份材质书,锈货不收，装货前联系收货人核实到场规格,没提前告知进场规格现场不给予接收</v>
      </c>
      <c r="M3254" s="91">
        <v>45905</v>
      </c>
      <c r="O3254" s="62">
        <f ca="1" t="shared" si="184"/>
        <v>0</v>
      </c>
      <c r="P3254" s="62">
        <f ca="1" t="shared" si="185"/>
        <v>55</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5" t="s">
        <v>215</v>
      </c>
      <c r="C3255" s="143">
        <v>45903</v>
      </c>
      <c r="D3255" s="135" t="str">
        <f>VLOOKUP(B3255,辅助信息!E:K,7,FALSE)</f>
        <v>JWDDCD2025102100486</v>
      </c>
      <c r="E3255" s="135" t="str">
        <f>VLOOKUP(F3255,辅助信息!A:B,2,FALSE)</f>
        <v>螺纹钢</v>
      </c>
      <c r="F3255" s="135" t="s">
        <v>28</v>
      </c>
      <c r="G3255" s="146">
        <v>35</v>
      </c>
      <c r="H3255" s="134">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09" t="str">
        <f>VLOOKUP(B3255,辅助信息!E:J,6,FALSE)</f>
        <v>联系实际收货人（孙敏13617695006）五冶建设送货单,6份材质书,锈货不收，装货前联系收货人核实到场规格,没提前告知进场规格现场不给予接收</v>
      </c>
      <c r="M3255" s="91">
        <v>45905</v>
      </c>
      <c r="O3255" s="62">
        <f ca="1" t="shared" si="184"/>
        <v>0</v>
      </c>
      <c r="P3255" s="62">
        <f ca="1" t="shared" si="185"/>
        <v>55</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5" t="s">
        <v>215</v>
      </c>
      <c r="C3256" s="143">
        <v>45903</v>
      </c>
      <c r="D3256" s="135" t="str">
        <f>VLOOKUP(B3256,辅助信息!E:K,7,FALSE)</f>
        <v>JWDDCD2025102100486</v>
      </c>
      <c r="E3256" s="135" t="str">
        <f>VLOOKUP(F3256,辅助信息!A:B,2,FALSE)</f>
        <v>螺纹钢</v>
      </c>
      <c r="F3256" s="135" t="s">
        <v>18</v>
      </c>
      <c r="G3256" s="146">
        <v>15</v>
      </c>
      <c r="H3256" s="134">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09" t="str">
        <f>VLOOKUP(B3256,辅助信息!E:J,6,FALSE)</f>
        <v>联系实际收货人（孙敏13617695006）五冶建设送货单,6份材质书,锈货不收，装货前联系收货人核实到场规格,没提前告知进场规格现场不给予接收</v>
      </c>
      <c r="M3256" s="91">
        <v>45905</v>
      </c>
      <c r="O3256" s="62">
        <f ca="1" t="shared" si="184"/>
        <v>0</v>
      </c>
      <c r="P3256" s="62">
        <f ca="1" t="shared" si="185"/>
        <v>55</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5" t="s">
        <v>215</v>
      </c>
      <c r="C3257" s="143">
        <v>45903</v>
      </c>
      <c r="D3257" s="135" t="str">
        <f>VLOOKUP(B3257,辅助信息!E:K,7,FALSE)</f>
        <v>JWDDCD2025102100486</v>
      </c>
      <c r="E3257" s="135" t="str">
        <f>VLOOKUP(F3257,辅助信息!A:B,2,FALSE)</f>
        <v>螺纹钢</v>
      </c>
      <c r="F3257" s="135" t="s">
        <v>52</v>
      </c>
      <c r="G3257" s="146">
        <v>22</v>
      </c>
      <c r="H3257" s="134">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09" t="str">
        <f>VLOOKUP(B3257,辅助信息!E:J,6,FALSE)</f>
        <v>联系实际收货人（孙敏13617695006）五冶建设送货单,6份材质书,锈货不收，装货前联系收货人核实到场规格,没提前告知进场规格现场不给予接收</v>
      </c>
      <c r="M3257" s="91">
        <v>45905</v>
      </c>
      <c r="O3257" s="62">
        <f ca="1" t="shared" si="184"/>
        <v>0</v>
      </c>
      <c r="P3257" s="62">
        <f ca="1" t="shared" si="185"/>
        <v>55</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0">
        <v>45903</v>
      </c>
      <c r="D3258" s="40" t="str">
        <f>VLOOKUP(B3258,辅助信息!E:K,7,FALSE)</f>
        <v>JWDDCD2025102100486</v>
      </c>
      <c r="E3258" s="40" t="str">
        <f>VLOOKUP(F3258,辅助信息!A:B,2,FALSE)</f>
        <v>螺纹钢</v>
      </c>
      <c r="F3258" s="40" t="s">
        <v>58</v>
      </c>
      <c r="G3258" s="36">
        <v>3</v>
      </c>
      <c r="H3258" s="134">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09" t="str">
        <f>VLOOKUP(B3258,辅助信息!E:J,6,FALSE)</f>
        <v>联系实际收货人（孙敏13617695006）五冶建设送货单,6份材质书,锈货不收，装货前联系收货人核实到场规格,没提前告知进场规格现场不给予接收</v>
      </c>
      <c r="M3258" s="91">
        <v>45905</v>
      </c>
      <c r="O3258" s="62">
        <f ca="1" t="shared" si="184"/>
        <v>0</v>
      </c>
      <c r="P3258" s="62">
        <f ca="1" t="shared" si="185"/>
        <v>55</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0">
        <v>45903</v>
      </c>
      <c r="D3259" s="40" t="str">
        <f>VLOOKUP(B3259,辅助信息!E:K,7,FALSE)</f>
        <v>JWDDCD2025102100486</v>
      </c>
      <c r="E3259" s="40" t="str">
        <f>VLOOKUP(F3259,辅助信息!A:B,2,FALSE)</f>
        <v>螺纹钢</v>
      </c>
      <c r="F3259" s="40" t="s">
        <v>46</v>
      </c>
      <c r="G3259" s="36">
        <v>3</v>
      </c>
      <c r="H3259" s="134">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09" t="str">
        <f>VLOOKUP(B3259,辅助信息!E:J,6,FALSE)</f>
        <v>联系实际收货人（孙敏13617695006）五冶建设送货单,6份材质书,锈货不收，装货前联系收货人核实到场规格,没提前告知进场规格现场不给予接收</v>
      </c>
      <c r="M3259" s="91">
        <v>45905</v>
      </c>
      <c r="O3259" s="62">
        <f ca="1" t="shared" si="184"/>
        <v>0</v>
      </c>
      <c r="P3259" s="62">
        <f ca="1" t="shared" si="185"/>
        <v>55</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0">
        <v>45903</v>
      </c>
      <c r="D3260" s="40" t="str">
        <f>VLOOKUP(B3260,辅助信息!E:K,7,FALSE)</f>
        <v>JWDDCD2025102100486</v>
      </c>
      <c r="E3260" s="40" t="str">
        <f>VLOOKUP(F3260,辅助信息!A:B,2,FALSE)</f>
        <v>螺纹钢</v>
      </c>
      <c r="F3260" s="40" t="s">
        <v>22</v>
      </c>
      <c r="G3260" s="36">
        <v>10</v>
      </c>
      <c r="H3260" s="134">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09" t="str">
        <f>VLOOKUP(B3260,辅助信息!E:J,6,FALSE)</f>
        <v>联系实际收货人（孙敏13617695006）五冶建设送货单,6份材质书,锈货不收，装货前联系收货人核实到场规格,没提前告知进场规格现场不给予接收</v>
      </c>
      <c r="M3260" s="91">
        <v>45905</v>
      </c>
      <c r="O3260" s="62">
        <f ca="1" t="shared" si="184"/>
        <v>0</v>
      </c>
      <c r="P3260" s="62">
        <f ca="1" t="shared" si="185"/>
        <v>55</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0">
        <v>45903</v>
      </c>
      <c r="D3261" s="40" t="str">
        <f>VLOOKUP(B3261,辅助信息!E:K,7,FALSE)</f>
        <v>JWDDCD2025102100486</v>
      </c>
      <c r="E3261" s="40" t="str">
        <f>VLOOKUP(F3261,辅助信息!A:B,2,FALSE)</f>
        <v>螺纹钢</v>
      </c>
      <c r="F3261" s="40" t="s">
        <v>181</v>
      </c>
      <c r="G3261" s="36">
        <v>6</v>
      </c>
      <c r="H3261" s="134">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09" t="str">
        <f>VLOOKUP(B3261,辅助信息!E:J,6,FALSE)</f>
        <v>联系实际收货人（孙敏13617695006）五冶建设送货单,6份材质书,锈货不收，装货前联系收货人核实到场规格,没提前告知进场规格现场不给予接收</v>
      </c>
      <c r="M3261" s="91">
        <v>45905</v>
      </c>
      <c r="O3261" s="62">
        <f ca="1" t="shared" si="184"/>
        <v>0</v>
      </c>
      <c r="P3261" s="62">
        <f ca="1" t="shared" si="185"/>
        <v>55</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0" t="s">
        <v>47</v>
      </c>
      <c r="C3262" s="70">
        <v>45905</v>
      </c>
      <c r="D3262" s="120" t="str">
        <f>VLOOKUP(B3262,辅助信息!E:K,7,FALSE)</f>
        <v>JWDDCD2025052800131</v>
      </c>
      <c r="E3262" s="120" t="str">
        <f>VLOOKUP(F3262,辅助信息!A:B,2,FALSE)</f>
        <v>螺纹钢</v>
      </c>
      <c r="F3262" s="120" t="s">
        <v>30</v>
      </c>
      <c r="G3262" s="121">
        <v>6</v>
      </c>
      <c r="H3262" s="134">
        <f>IF(SUMIFS('[1]2025年已发货'!$E:$E,'[1]2025年已发货'!$F:$F,C3262,'[1]2025年已发货'!$C:$C,F3262,'[1]2025年已发货'!$G:$G,I3262,'[1]2025年已发货'!$H:$H,J3262)=0,"未发货",SUMIFS('[1]2025年已发货'!$E:$E,'[1]2025年已发货'!$F:$F,C3262,'[1]2025年已发货'!$C:$C,F3262,'[1]2025年已发货'!$G:$G,I3262,'[1]2025年已发货'!$H:$H,J3262))</f>
        <v>5</v>
      </c>
      <c r="I3262" s="120" t="str">
        <f>VLOOKUP(B3262,辅助信息!E:I,3,FALSE)</f>
        <v>（商投建工达州中医药科技园-1工区）达州市通川区达州中医药职业学院犀牛大道北段</v>
      </c>
      <c r="J3262" s="120" t="str">
        <f>VLOOKUP(B3262,辅助信息!E:I,4,FALSE)</f>
        <v>程黄刚</v>
      </c>
      <c r="K3262" s="120">
        <f>VLOOKUP(J3262,辅助信息!H:I,2,FALSE)</f>
        <v>15108211617</v>
      </c>
      <c r="L3262" s="122" t="str">
        <f>VLOOKUP(B3262,辅助信息!E:J,6,FALSE)</f>
        <v>控制炉批号！多了现场不收！,优先安排达钢,提前联系到场规格及数量</v>
      </c>
      <c r="M3262" s="91">
        <v>45904</v>
      </c>
      <c r="N3262" s="62" t="s">
        <v>214</v>
      </c>
      <c r="O3262" s="62">
        <f ca="1" t="shared" si="184"/>
        <v>0</v>
      </c>
      <c r="P3262" s="144">
        <f ca="1" t="shared" si="185"/>
        <v>56</v>
      </c>
      <c r="Q3262" s="29" t="str">
        <f>VLOOKUP(B3262,辅助信息!E:M,9,FALSE)</f>
        <v>ZTWM-CDGS-XS-2024-0134-商投建工达州中医药科技成果示范园项目</v>
      </c>
      <c r="R3262" s="145" t="str">
        <f>_xlfn._xlws.FILTER(辅助信息!D:D,辅助信息!E:E=B3262)</f>
        <v>商投建工达州中医药科技园</v>
      </c>
    </row>
    <row r="3263" hidden="1" spans="2:18">
      <c r="B3263" s="120" t="s">
        <v>47</v>
      </c>
      <c r="C3263" s="70">
        <v>45905</v>
      </c>
      <c r="D3263" s="120" t="str">
        <f>VLOOKUP(B3263,辅助信息!E:K,7,FALSE)</f>
        <v>JWDDCD2025052800131</v>
      </c>
      <c r="E3263" s="120" t="str">
        <f>VLOOKUP(F3263,辅助信息!A:B,2,FALSE)</f>
        <v>螺纹钢</v>
      </c>
      <c r="F3263" s="120" t="s">
        <v>45</v>
      </c>
      <c r="G3263" s="121">
        <v>3</v>
      </c>
      <c r="H3263" s="134">
        <f>IF(SUMIFS('[1]2025年已发货'!$E:$E,'[1]2025年已发货'!$F:$F,C3263,'[1]2025年已发货'!$C:$C,F3263,'[1]2025年已发货'!$G:$G,I3263,'[1]2025年已发货'!$H:$H,J3263)=0,"未发货",SUMIFS('[1]2025年已发货'!$E:$E,'[1]2025年已发货'!$F:$F,C3263,'[1]2025年已发货'!$C:$C,F3263,'[1]2025年已发货'!$G:$G,I3263,'[1]2025年已发货'!$H:$H,J3263))</f>
        <v>2.5</v>
      </c>
      <c r="I3263" s="120" t="str">
        <f>VLOOKUP(B3263,辅助信息!E:I,3,FALSE)</f>
        <v>（商投建工达州中医药科技园-1工区）达州市通川区达州中医药职业学院犀牛大道北段</v>
      </c>
      <c r="J3263" s="120" t="str">
        <f>VLOOKUP(B3263,辅助信息!E:I,4,FALSE)</f>
        <v>程黄刚</v>
      </c>
      <c r="K3263" s="120">
        <f>VLOOKUP(J3263,辅助信息!H:I,2,FALSE)</f>
        <v>15108211617</v>
      </c>
      <c r="L3263" s="122" t="str">
        <f>VLOOKUP(B3263,辅助信息!E:J,6,FALSE)</f>
        <v>控制炉批号！多了现场不收！,优先安排达钢,提前联系到场规格及数量</v>
      </c>
      <c r="M3263" s="91">
        <v>45904</v>
      </c>
      <c r="N3263" s="62" t="s">
        <v>214</v>
      </c>
      <c r="O3263" s="62">
        <f ca="1" t="shared" si="184"/>
        <v>0</v>
      </c>
      <c r="P3263" s="144">
        <f ca="1" t="shared" si="185"/>
        <v>56</v>
      </c>
      <c r="Q3263" s="29" t="str">
        <f>VLOOKUP(B3263,辅助信息!E:M,9,FALSE)</f>
        <v>ZTWM-CDGS-XS-2024-0134-商投建工达州中医药科技成果示范园项目</v>
      </c>
      <c r="R3263" s="145" t="str">
        <f>_xlfn._xlws.FILTER(辅助信息!D:D,辅助信息!E:E=B3263)</f>
        <v>商投建工达州中医药科技园</v>
      </c>
    </row>
    <row r="3264" hidden="1" spans="2:18">
      <c r="B3264" s="120" t="s">
        <v>47</v>
      </c>
      <c r="C3264" s="70">
        <v>45905</v>
      </c>
      <c r="D3264" s="120" t="str">
        <f>VLOOKUP(B3264,辅助信息!E:K,7,FALSE)</f>
        <v>JWDDCD2025052800131</v>
      </c>
      <c r="E3264" s="120" t="str">
        <f>VLOOKUP(F3264,辅助信息!A:B,2,FALSE)</f>
        <v>螺纹钢</v>
      </c>
      <c r="F3264" s="120" t="s">
        <v>21</v>
      </c>
      <c r="G3264" s="121">
        <v>6</v>
      </c>
      <c r="H3264" s="134">
        <f>IF(SUMIFS('[1]2025年已发货'!$E:$E,'[1]2025年已发货'!$F:$F,C3264,'[1]2025年已发货'!$C:$C,F3264,'[1]2025年已发货'!$G:$G,I3264,'[1]2025年已发货'!$H:$H,J3264)=0,"未发货",SUMIFS('[1]2025年已发货'!$E:$E,'[1]2025年已发货'!$F:$F,C3264,'[1]2025年已发货'!$C:$C,F3264,'[1]2025年已发货'!$G:$G,I3264,'[1]2025年已发货'!$H:$H,J3264))</f>
        <v>5</v>
      </c>
      <c r="I3264" s="120" t="str">
        <f>VLOOKUP(B3264,辅助信息!E:I,3,FALSE)</f>
        <v>（商投建工达州中医药科技园-1工区）达州市通川区达州中医药职业学院犀牛大道北段</v>
      </c>
      <c r="J3264" s="120" t="str">
        <f>VLOOKUP(B3264,辅助信息!E:I,4,FALSE)</f>
        <v>程黄刚</v>
      </c>
      <c r="K3264" s="120">
        <f>VLOOKUP(J3264,辅助信息!H:I,2,FALSE)</f>
        <v>15108211617</v>
      </c>
      <c r="L3264" s="122" t="str">
        <f>VLOOKUP(B3264,辅助信息!E:J,6,FALSE)</f>
        <v>控制炉批号！多了现场不收！,优先安排达钢,提前联系到场规格及数量</v>
      </c>
      <c r="M3264" s="91">
        <v>45904</v>
      </c>
      <c r="N3264" s="62" t="s">
        <v>214</v>
      </c>
      <c r="O3264" s="62">
        <f ca="1" t="shared" si="184"/>
        <v>0</v>
      </c>
      <c r="P3264" s="144">
        <f ca="1" t="shared" si="185"/>
        <v>56</v>
      </c>
      <c r="Q3264" s="29" t="str">
        <f>VLOOKUP(B3264,辅助信息!E:M,9,FALSE)</f>
        <v>ZTWM-CDGS-XS-2024-0134-商投建工达州中医药科技成果示范园项目</v>
      </c>
      <c r="R3264" s="145" t="str">
        <f>_xlfn._xlws.FILTER(辅助信息!D:D,辅助信息!E:E=B3264)</f>
        <v>商投建工达州中医药科技园</v>
      </c>
    </row>
    <row r="3265" hidden="1" spans="2:18">
      <c r="B3265" s="120" t="s">
        <v>47</v>
      </c>
      <c r="C3265" s="70">
        <v>45905</v>
      </c>
      <c r="D3265" s="120" t="str">
        <f>VLOOKUP(B3265,辅助信息!E:K,7,FALSE)</f>
        <v>JWDDCD2025052800131</v>
      </c>
      <c r="E3265" s="120" t="str">
        <f>VLOOKUP(F3265,辅助信息!A:B,2,FALSE)</f>
        <v>螺纹钢</v>
      </c>
      <c r="F3265" s="120" t="s">
        <v>58</v>
      </c>
      <c r="G3265" s="121">
        <v>12</v>
      </c>
      <c r="H3265" s="134">
        <f>IF(SUMIFS('[1]2025年已发货'!$E:$E,'[1]2025年已发货'!$F:$F,C3265,'[1]2025年已发货'!$C:$C,F3265,'[1]2025年已发货'!$G:$G,I3265,'[1]2025年已发货'!$H:$H,J3265)=0,"未发货",SUMIFS('[1]2025年已发货'!$E:$E,'[1]2025年已发货'!$F:$F,C3265,'[1]2025年已发货'!$C:$C,F3265,'[1]2025年已发货'!$G:$G,I3265,'[1]2025年已发货'!$H:$H,J3265))</f>
        <v>12.5</v>
      </c>
      <c r="I3265" s="120" t="str">
        <f>VLOOKUP(B3265,辅助信息!E:I,3,FALSE)</f>
        <v>（商投建工达州中医药科技园-1工区）达州市通川区达州中医药职业学院犀牛大道北段</v>
      </c>
      <c r="J3265" s="120" t="str">
        <f>VLOOKUP(B3265,辅助信息!E:I,4,FALSE)</f>
        <v>程黄刚</v>
      </c>
      <c r="K3265" s="120">
        <f>VLOOKUP(J3265,辅助信息!H:I,2,FALSE)</f>
        <v>15108211617</v>
      </c>
      <c r="L3265" s="122" t="str">
        <f>VLOOKUP(B3265,辅助信息!E:J,6,FALSE)</f>
        <v>控制炉批号！多了现场不收！,优先安排达钢,提前联系到场规格及数量</v>
      </c>
      <c r="M3265" s="91">
        <v>45904</v>
      </c>
      <c r="N3265" s="62" t="s">
        <v>214</v>
      </c>
      <c r="O3265" s="62">
        <f ca="1" t="shared" si="184"/>
        <v>0</v>
      </c>
      <c r="P3265" s="144">
        <f ca="1" t="shared" si="185"/>
        <v>56</v>
      </c>
      <c r="Q3265" s="29" t="str">
        <f>VLOOKUP(B3265,辅助信息!E:M,9,FALSE)</f>
        <v>ZTWM-CDGS-XS-2024-0134-商投建工达州中医药科技成果示范园项目</v>
      </c>
      <c r="R3265" s="145" t="str">
        <f>_xlfn._xlws.FILTER(辅助信息!D:D,辅助信息!E:E=B3265)</f>
        <v>商投建工达州中医药科技园</v>
      </c>
    </row>
    <row r="3266" hidden="1" spans="2:18">
      <c r="B3266" s="120" t="s">
        <v>47</v>
      </c>
      <c r="C3266" s="70">
        <v>45905</v>
      </c>
      <c r="D3266" s="120" t="str">
        <f>VLOOKUP(B3266,辅助信息!E:K,7,FALSE)</f>
        <v>JWDDCD2025052800131</v>
      </c>
      <c r="E3266" s="120" t="str">
        <f>VLOOKUP(F3266,辅助信息!A:B,2,FALSE)</f>
        <v>螺纹钢</v>
      </c>
      <c r="F3266" s="120" t="s">
        <v>46</v>
      </c>
      <c r="G3266" s="121">
        <v>6</v>
      </c>
      <c r="H3266" s="134">
        <f>IF(SUMIFS('[1]2025年已发货'!$E:$E,'[1]2025年已发货'!$F:$F,C3266,'[1]2025年已发货'!$C:$C,F3266,'[1]2025年已发货'!$G:$G,I3266,'[1]2025年已发货'!$H:$H,J3266)=0,"未发货",SUMIFS('[1]2025年已发货'!$E:$E,'[1]2025年已发货'!$F:$F,C3266,'[1]2025年已发货'!$C:$C,F3266,'[1]2025年已发货'!$G:$G,I3266,'[1]2025年已发货'!$H:$H,J3266))</f>
        <v>5</v>
      </c>
      <c r="I3266" s="120" t="str">
        <f>VLOOKUP(B3266,辅助信息!E:I,3,FALSE)</f>
        <v>（商投建工达州中医药科技园-1工区）达州市通川区达州中医药职业学院犀牛大道北段</v>
      </c>
      <c r="J3266" s="120" t="str">
        <f>VLOOKUP(B3266,辅助信息!E:I,4,FALSE)</f>
        <v>程黄刚</v>
      </c>
      <c r="K3266" s="120">
        <f>VLOOKUP(J3266,辅助信息!H:I,2,FALSE)</f>
        <v>15108211617</v>
      </c>
      <c r="L3266" s="122" t="str">
        <f>VLOOKUP(B3266,辅助信息!E:J,6,FALSE)</f>
        <v>控制炉批号！多了现场不收！,优先安排达钢,提前联系到场规格及数量</v>
      </c>
      <c r="M3266" s="91">
        <v>45904</v>
      </c>
      <c r="N3266" s="62" t="s">
        <v>214</v>
      </c>
      <c r="O3266" s="62">
        <f ca="1" t="shared" si="184"/>
        <v>0</v>
      </c>
      <c r="P3266" s="144">
        <f ca="1" t="shared" si="185"/>
        <v>56</v>
      </c>
      <c r="Q3266" s="29" t="str">
        <f>VLOOKUP(B3266,辅助信息!E:M,9,FALSE)</f>
        <v>ZTWM-CDGS-XS-2024-0134-商投建工达州中医药科技成果示范园项目</v>
      </c>
      <c r="R3266" s="145" t="str">
        <f>_xlfn._xlws.FILTER(辅助信息!D:D,辅助信息!E:E=B3266)</f>
        <v>商投建工达州中医药科技园</v>
      </c>
    </row>
    <row r="3267" hidden="1" spans="2:18">
      <c r="B3267" s="120" t="s">
        <v>47</v>
      </c>
      <c r="C3267" s="70">
        <v>45905</v>
      </c>
      <c r="D3267" s="120" t="str">
        <f>VLOOKUP(B3267,辅助信息!E:K,7,FALSE)</f>
        <v>JWDDCD2025052800131</v>
      </c>
      <c r="E3267" s="120" t="str">
        <f>VLOOKUP(F3267,辅助信息!A:B,2,FALSE)</f>
        <v>螺纹钢</v>
      </c>
      <c r="F3267" s="120" t="s">
        <v>22</v>
      </c>
      <c r="G3267" s="121">
        <v>6</v>
      </c>
      <c r="H3267" s="134">
        <f>IF(SUMIFS('[1]2025年已发货'!$E:$E,'[1]2025年已发货'!$F:$F,C3267,'[1]2025年已发货'!$C:$C,F3267,'[1]2025年已发货'!$G:$G,I3267,'[1]2025年已发货'!$H:$H,J3267)=0,"未发货",SUMIFS('[1]2025年已发货'!$E:$E,'[1]2025年已发货'!$F:$F,C3267,'[1]2025年已发货'!$C:$C,F3267,'[1]2025年已发货'!$G:$G,I3267,'[1]2025年已发货'!$H:$H,J3267))</f>
        <v>5</v>
      </c>
      <c r="I3267" s="120" t="str">
        <f>VLOOKUP(B3267,辅助信息!E:I,3,FALSE)</f>
        <v>（商投建工达州中医药科技园-1工区）达州市通川区达州中医药职业学院犀牛大道北段</v>
      </c>
      <c r="J3267" s="120" t="str">
        <f>VLOOKUP(B3267,辅助信息!E:I,4,FALSE)</f>
        <v>程黄刚</v>
      </c>
      <c r="K3267" s="120">
        <f>VLOOKUP(J3267,辅助信息!H:I,2,FALSE)</f>
        <v>15108211617</v>
      </c>
      <c r="L3267" s="122" t="str">
        <f>VLOOKUP(B3267,辅助信息!E:J,6,FALSE)</f>
        <v>控制炉批号！多了现场不收！,优先安排达钢,提前联系到场规格及数量</v>
      </c>
      <c r="M3267" s="91">
        <v>45904</v>
      </c>
      <c r="N3267" s="62" t="s">
        <v>214</v>
      </c>
      <c r="O3267" s="62">
        <f ca="1" t="shared" si="184"/>
        <v>0</v>
      </c>
      <c r="P3267" s="144">
        <f ca="1" t="shared" si="185"/>
        <v>56</v>
      </c>
      <c r="Q3267" s="29" t="str">
        <f>VLOOKUP(B3267,辅助信息!E:M,9,FALSE)</f>
        <v>ZTWM-CDGS-XS-2024-0134-商投建工达州中医药科技成果示范园项目</v>
      </c>
      <c r="R3267" s="145" t="str">
        <f>_xlfn._xlws.FILTER(辅助信息!D:D,辅助信息!E:E=B3267)</f>
        <v>商投建工达州中医药科技园</v>
      </c>
    </row>
    <row r="3268" hidden="1" spans="2:18">
      <c r="B3268" s="120" t="s">
        <v>68</v>
      </c>
      <c r="C3268" s="70">
        <v>45905</v>
      </c>
      <c r="D3268" s="120" t="str">
        <f>VLOOKUP(B3268,辅助信息!E:K,7,FALSE)</f>
        <v>JWDDCD2025052800131</v>
      </c>
      <c r="E3268" s="120" t="str">
        <f>VLOOKUP(F3268,辅助信息!A:B,2,FALSE)</f>
        <v>螺纹钢</v>
      </c>
      <c r="F3268" s="120" t="s">
        <v>30</v>
      </c>
      <c r="G3268" s="121">
        <v>42</v>
      </c>
      <c r="H3268" s="134">
        <f>IF(SUMIFS('[1]2025年已发货'!$E:$E,'[1]2025年已发货'!$F:$F,C3268,'[1]2025年已发货'!$C:$C,F3268,'[1]2025年已发货'!$G:$G,I3268,'[1]2025年已发货'!$H:$H,J3268)=0,"未发货",SUMIFS('[1]2025年已发货'!$E:$E,'[1]2025年已发货'!$F:$F,C3268,'[1]2025年已发货'!$C:$C,F3268,'[1]2025年已发货'!$G:$G,I3268,'[1]2025年已发货'!$H:$H,J3268))</f>
        <v>42</v>
      </c>
      <c r="I3268" s="120" t="str">
        <f>VLOOKUP(B3268,辅助信息!E:I,3,FALSE)</f>
        <v>（商投建工达州中医药科技园-2工区-景观桥）达州市通川区达州中医药职业学院犀牛大道北段</v>
      </c>
      <c r="J3268" s="120" t="str">
        <f>VLOOKUP(B3268,辅助信息!E:I,4,FALSE)</f>
        <v>李波</v>
      </c>
      <c r="K3268" s="120">
        <f>VLOOKUP(J3268,辅助信息!H:I,2,FALSE)</f>
        <v>18381899787</v>
      </c>
      <c r="L3268" s="122" t="str">
        <f>VLOOKUP(B3268,辅助信息!E:J,6,FALSE)</f>
        <v>控制炉批号！多了现场不收！,优先安排达钢,提前联系到场规格及数量</v>
      </c>
      <c r="M3268" s="91">
        <v>45904</v>
      </c>
      <c r="N3268" s="62" t="s">
        <v>214</v>
      </c>
      <c r="O3268" s="62">
        <f ca="1" t="shared" si="184"/>
        <v>0</v>
      </c>
      <c r="P3268" s="144">
        <f ca="1" t="shared" si="185"/>
        <v>56</v>
      </c>
      <c r="Q3268" s="29" t="str">
        <f>VLOOKUP(B3268,辅助信息!E:M,9,FALSE)</f>
        <v>ZTWM-CDGS-XS-2024-0134-商投建工达州中医药科技成果示范园项目</v>
      </c>
      <c r="R3268" s="145" t="str">
        <f>_xlfn._xlws.FILTER(辅助信息!D:D,辅助信息!E:E=B3268)</f>
        <v>商投建工达州中医药科技园</v>
      </c>
    </row>
    <row r="3269" hidden="1" spans="2:18">
      <c r="B3269" s="120" t="s">
        <v>68</v>
      </c>
      <c r="C3269" s="70">
        <v>45906</v>
      </c>
      <c r="D3269" s="120" t="str">
        <f>VLOOKUP(B3269,辅助信息!E:K,7,FALSE)</f>
        <v>JWDDCD2025052800131</v>
      </c>
      <c r="E3269" s="120" t="str">
        <f>VLOOKUP(F3269,辅助信息!A:B,2,FALSE)</f>
        <v>螺纹钢</v>
      </c>
      <c r="F3269" s="120" t="s">
        <v>28</v>
      </c>
      <c r="G3269" s="121">
        <v>15</v>
      </c>
      <c r="H3269" s="134"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0" t="str">
        <f>VLOOKUP(B3269,辅助信息!E:I,3,FALSE)</f>
        <v>（商投建工达州中医药科技园-2工区-景观桥）达州市通川区达州中医药职业学院犀牛大道北段</v>
      </c>
      <c r="J3269" s="120" t="str">
        <f>VLOOKUP(B3269,辅助信息!E:I,4,FALSE)</f>
        <v>李波</v>
      </c>
      <c r="K3269" s="120">
        <f>VLOOKUP(J3269,辅助信息!H:I,2,FALSE)</f>
        <v>18381899787</v>
      </c>
      <c r="L3269" s="122" t="str">
        <f>VLOOKUP(B3269,辅助信息!E:J,6,FALSE)</f>
        <v>控制炉批号！多了现场不收！,优先安排达钢,提前联系到场规格及数量</v>
      </c>
      <c r="M3269" s="91">
        <v>45904</v>
      </c>
      <c r="N3269" s="62" t="s">
        <v>214</v>
      </c>
      <c r="O3269" s="62">
        <f ca="1" t="shared" si="184"/>
        <v>0</v>
      </c>
      <c r="P3269" s="144">
        <f ca="1" t="shared" si="185"/>
        <v>56</v>
      </c>
      <c r="Q3269" s="29" t="str">
        <f>VLOOKUP(B3269,辅助信息!E:M,9,FALSE)</f>
        <v>ZTWM-CDGS-XS-2024-0134-商投建工达州中医药科技成果示范园项目</v>
      </c>
      <c r="R3269" s="145" t="str">
        <f>_xlfn._xlws.FILTER(辅助信息!D:D,辅助信息!E:E=B3269)</f>
        <v>商投建工达州中医药科技园</v>
      </c>
    </row>
    <row r="3270" hidden="1" spans="2:18">
      <c r="B3270" s="120" t="s">
        <v>163</v>
      </c>
      <c r="C3270" s="70">
        <v>45906</v>
      </c>
      <c r="D3270" s="120" t="str">
        <f>VLOOKUP(B3270,辅助信息!E:K,7,FALSE)</f>
        <v>JWDDCD2025052800131</v>
      </c>
      <c r="E3270" s="120" t="str">
        <f>VLOOKUP(F3270,辅助信息!A:B,2,FALSE)</f>
        <v>盘螺</v>
      </c>
      <c r="F3270" s="120" t="s">
        <v>40</v>
      </c>
      <c r="G3270" s="121">
        <v>15</v>
      </c>
      <c r="H3270" s="134"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0" t="str">
        <f>VLOOKUP(B3270,辅助信息!E:I,3,FALSE)</f>
        <v>（商投建工达州中医药科技园-4工区-9号楼）达州市通川区达州中医药职业学院犀牛大道北段</v>
      </c>
      <c r="J3270" s="120" t="str">
        <f>VLOOKUP(B3270,辅助信息!E:I,4,FALSE)</f>
        <v>张扬</v>
      </c>
      <c r="K3270" s="120">
        <f>VLOOKUP(J3270,辅助信息!H:I,2,FALSE)</f>
        <v>18381904567</v>
      </c>
      <c r="L3270" s="122" t="str">
        <f>VLOOKUP(B3270,辅助信息!E:J,6,FALSE)</f>
        <v>控制炉批号！多了现场不收！,优先安排达钢,提前联系到场规格及数量</v>
      </c>
      <c r="M3270" s="91">
        <v>45903</v>
      </c>
      <c r="O3270" s="62">
        <f ca="1" t="shared" si="184"/>
        <v>0</v>
      </c>
      <c r="P3270" s="62">
        <f ca="1" t="shared" si="185"/>
        <v>57</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0" t="s">
        <v>160</v>
      </c>
      <c r="C3271" s="70">
        <v>45904</v>
      </c>
      <c r="D3271" s="120" t="str">
        <f>VLOOKUP(B3271,辅助信息!E:K,7,FALSE)</f>
        <v>JWDDCD2025071500024</v>
      </c>
      <c r="E3271" s="120" t="str">
        <f>VLOOKUP(F3271,辅助信息!A:B,2,FALSE)</f>
        <v>螺纹钢</v>
      </c>
      <c r="F3271" s="120" t="s">
        <v>19</v>
      </c>
      <c r="G3271" s="121">
        <v>3</v>
      </c>
      <c r="H3271" s="134">
        <f>IF(SUMIFS('[1]2025年已发货'!$E:$E,'[1]2025年已发货'!$F:$F,C3271,'[1]2025年已发货'!$C:$C,F3271,'[1]2025年已发货'!$G:$G,I3271,'[1]2025年已发货'!$H:$H,J3271)=0,"未发货",SUMIFS('[1]2025年已发货'!$E:$E,'[1]2025年已发货'!$F:$F,C3271,'[1]2025年已发货'!$C:$C,F3271,'[1]2025年已发货'!$G:$G,I3271,'[1]2025年已发货'!$H:$H,J3271))</f>
        <v>3</v>
      </c>
      <c r="I3271" s="120" t="str">
        <f>VLOOKUP(B3271,辅助信息!E:I,3,FALSE)</f>
        <v>(中铁三局集团西渝高铁康渝段站房四标工程)重庆市九龙坡区华祥支路与华祥路交叉口重庆建工重庆西站TOD项目部</v>
      </c>
      <c r="J3271" s="120" t="str">
        <f>VLOOKUP(B3271,辅助信息!E:I,4,FALSE)</f>
        <v>卢庆江</v>
      </c>
      <c r="K3271" s="120">
        <f>VLOOKUP(J3271,辅助信息!H:I,2,FALSE)</f>
        <v>18883488177</v>
      </c>
      <c r="L3271" s="122" t="str">
        <f>VLOOKUP(B3271,辅助信息!E:J,6,FALSE)</f>
        <v>炉批号尽可能不要多</v>
      </c>
      <c r="M3271" s="91">
        <v>45906</v>
      </c>
      <c r="O3271" s="62">
        <f ca="1" t="shared" si="184"/>
        <v>0</v>
      </c>
      <c r="P3271" s="62">
        <f ca="1" t="shared" si="185"/>
        <v>54</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0" t="s">
        <v>160</v>
      </c>
      <c r="C3272" s="70">
        <v>45904</v>
      </c>
      <c r="D3272" s="120" t="str">
        <f>VLOOKUP(B3272,辅助信息!E:K,7,FALSE)</f>
        <v>JWDDCD2025071500024</v>
      </c>
      <c r="E3272" s="120" t="str">
        <f>VLOOKUP(F3272,辅助信息!A:B,2,FALSE)</f>
        <v>螺纹钢</v>
      </c>
      <c r="F3272" s="120" t="s">
        <v>32</v>
      </c>
      <c r="G3272" s="121">
        <v>12</v>
      </c>
      <c r="H3272" s="134">
        <f>IF(SUMIFS('[1]2025年已发货'!$E:$E,'[1]2025年已发货'!$F:$F,C3272,'[1]2025年已发货'!$C:$C,F3272,'[1]2025年已发货'!$G:$G,I3272,'[1]2025年已发货'!$H:$H,J3272)=0,"未发货",SUMIFS('[1]2025年已发货'!$E:$E,'[1]2025年已发货'!$F:$F,C3272,'[1]2025年已发货'!$C:$C,F3272,'[1]2025年已发货'!$G:$G,I3272,'[1]2025年已发货'!$H:$H,J3272))</f>
        <v>12</v>
      </c>
      <c r="I3272" s="120" t="str">
        <f>VLOOKUP(B3272,辅助信息!E:I,3,FALSE)</f>
        <v>(中铁三局集团西渝高铁康渝段站房四标工程)重庆市九龙坡区华祥支路与华祥路交叉口重庆建工重庆西站TOD项目部</v>
      </c>
      <c r="J3272" s="120" t="str">
        <f>VLOOKUP(B3272,辅助信息!E:I,4,FALSE)</f>
        <v>卢庆江</v>
      </c>
      <c r="K3272" s="120">
        <f>VLOOKUP(J3272,辅助信息!H:I,2,FALSE)</f>
        <v>18883488177</v>
      </c>
      <c r="L3272" s="122" t="str">
        <f>VLOOKUP(B3272,辅助信息!E:J,6,FALSE)</f>
        <v>炉批号尽可能不要多</v>
      </c>
      <c r="M3272" s="91">
        <v>45906</v>
      </c>
      <c r="O3272" s="62">
        <f ca="1" t="shared" si="184"/>
        <v>0</v>
      </c>
      <c r="P3272" s="62">
        <f ca="1" t="shared" si="185"/>
        <v>54</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0" t="s">
        <v>160</v>
      </c>
      <c r="C3273" s="70">
        <v>45904</v>
      </c>
      <c r="D3273" s="120" t="str">
        <f>VLOOKUP(B3273,辅助信息!E:K,7,FALSE)</f>
        <v>JWDDCD2025071500024</v>
      </c>
      <c r="E3273" s="120" t="str">
        <f>VLOOKUP(F3273,辅助信息!A:B,2,FALSE)</f>
        <v>螺纹钢</v>
      </c>
      <c r="F3273" s="120" t="s">
        <v>30</v>
      </c>
      <c r="G3273" s="121">
        <v>9</v>
      </c>
      <c r="H3273" s="134">
        <f>IF(SUMIFS('[1]2025年已发货'!$E:$E,'[1]2025年已发货'!$F:$F,C3273,'[1]2025年已发货'!$C:$C,F3273,'[1]2025年已发货'!$G:$G,I3273,'[1]2025年已发货'!$H:$H,J3273)=0,"未发货",SUMIFS('[1]2025年已发货'!$E:$E,'[1]2025年已发货'!$F:$F,C3273,'[1]2025年已发货'!$C:$C,F3273,'[1]2025年已发货'!$G:$G,I3273,'[1]2025年已发货'!$H:$H,J3273))</f>
        <v>12</v>
      </c>
      <c r="I3273" s="120" t="str">
        <f>VLOOKUP(B3273,辅助信息!E:I,3,FALSE)</f>
        <v>(中铁三局集团西渝高铁康渝段站房四标工程)重庆市九龙坡区华祥支路与华祥路交叉口重庆建工重庆西站TOD项目部</v>
      </c>
      <c r="J3273" s="120" t="str">
        <f>VLOOKUP(B3273,辅助信息!E:I,4,FALSE)</f>
        <v>卢庆江</v>
      </c>
      <c r="K3273" s="120">
        <f>VLOOKUP(J3273,辅助信息!H:I,2,FALSE)</f>
        <v>18883488177</v>
      </c>
      <c r="L3273" s="122" t="str">
        <f>VLOOKUP(B3273,辅助信息!E:J,6,FALSE)</f>
        <v>炉批号尽可能不要多</v>
      </c>
      <c r="M3273" s="91">
        <v>45906</v>
      </c>
      <c r="O3273" s="62">
        <f ca="1" t="shared" si="184"/>
        <v>0</v>
      </c>
      <c r="P3273" s="62">
        <f ca="1" t="shared" si="185"/>
        <v>54</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0" t="s">
        <v>160</v>
      </c>
      <c r="C3274" s="70">
        <v>45904</v>
      </c>
      <c r="D3274" s="120" t="str">
        <f>VLOOKUP(B3274,辅助信息!E:K,7,FALSE)</f>
        <v>JWDDCD2025071500024</v>
      </c>
      <c r="E3274" s="120" t="str">
        <f>VLOOKUP(F3274,辅助信息!A:B,2,FALSE)</f>
        <v>螺纹钢</v>
      </c>
      <c r="F3274" s="120" t="s">
        <v>33</v>
      </c>
      <c r="G3274" s="121">
        <v>30</v>
      </c>
      <c r="H3274" s="134">
        <f>IF(SUMIFS('[1]2025年已发货'!$E:$E,'[1]2025年已发货'!$F:$F,C3274,'[1]2025年已发货'!$C:$C,F3274,'[1]2025年已发货'!$G:$G,I3274,'[1]2025年已发货'!$H:$H,J3274)=0,"未发货",SUMIFS('[1]2025年已发货'!$E:$E,'[1]2025年已发货'!$F:$F,C3274,'[1]2025年已发货'!$C:$C,F3274,'[1]2025年已发货'!$G:$G,I3274,'[1]2025年已发货'!$H:$H,J3274))</f>
        <v>33</v>
      </c>
      <c r="I3274" s="120" t="str">
        <f>VLOOKUP(B3274,辅助信息!E:I,3,FALSE)</f>
        <v>(中铁三局集团西渝高铁康渝段站房四标工程)重庆市九龙坡区华祥支路与华祥路交叉口重庆建工重庆西站TOD项目部</v>
      </c>
      <c r="J3274" s="120" t="str">
        <f>VLOOKUP(B3274,辅助信息!E:I,4,FALSE)</f>
        <v>卢庆江</v>
      </c>
      <c r="K3274" s="120">
        <f>VLOOKUP(J3274,辅助信息!H:I,2,FALSE)</f>
        <v>18883488177</v>
      </c>
      <c r="L3274" s="122" t="str">
        <f>VLOOKUP(B3274,辅助信息!E:J,6,FALSE)</f>
        <v>炉批号尽可能不要多</v>
      </c>
      <c r="M3274" s="91">
        <v>45906</v>
      </c>
      <c r="O3274" s="62">
        <f ca="1" t="shared" si="184"/>
        <v>0</v>
      </c>
      <c r="P3274" s="62">
        <f ca="1" t="shared" si="185"/>
        <v>54</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0" t="s">
        <v>160</v>
      </c>
      <c r="C3275" s="70">
        <v>45904</v>
      </c>
      <c r="D3275" s="120" t="str">
        <f>VLOOKUP(B3275,辅助信息!E:K,7,FALSE)</f>
        <v>JWDDCD2025071500024</v>
      </c>
      <c r="E3275" s="120" t="str">
        <f>VLOOKUP(F3275,辅助信息!A:B,2,FALSE)</f>
        <v>螺纹钢</v>
      </c>
      <c r="F3275" s="120" t="s">
        <v>28</v>
      </c>
      <c r="G3275" s="121">
        <v>21</v>
      </c>
      <c r="H3275" s="134">
        <f>IF(SUMIFS('[1]2025年已发货'!$E:$E,'[1]2025年已发货'!$F:$F,C3275,'[1]2025年已发货'!$C:$C,F3275,'[1]2025年已发货'!$G:$G,I3275,'[1]2025年已发货'!$H:$H,J3275)=0,"未发货",SUMIFS('[1]2025年已发货'!$E:$E,'[1]2025年已发货'!$F:$F,C3275,'[1]2025年已发货'!$C:$C,F3275,'[1]2025年已发货'!$G:$G,I3275,'[1]2025年已发货'!$H:$H,J3275))</f>
        <v>20</v>
      </c>
      <c r="I3275" s="120" t="str">
        <f>VLOOKUP(B3275,辅助信息!E:I,3,FALSE)</f>
        <v>(中铁三局集团西渝高铁康渝段站房四标工程)重庆市九龙坡区华祥支路与华祥路交叉口重庆建工重庆西站TOD项目部</v>
      </c>
      <c r="J3275" s="120" t="str">
        <f>VLOOKUP(B3275,辅助信息!E:I,4,FALSE)</f>
        <v>卢庆江</v>
      </c>
      <c r="K3275" s="120">
        <f>VLOOKUP(J3275,辅助信息!H:I,2,FALSE)</f>
        <v>18883488177</v>
      </c>
      <c r="L3275" s="122" t="str">
        <f>VLOOKUP(B3275,辅助信息!E:J,6,FALSE)</f>
        <v>炉批号尽可能不要多</v>
      </c>
      <c r="M3275" s="91">
        <v>45906</v>
      </c>
      <c r="O3275" s="62">
        <f ca="1" t="shared" si="184"/>
        <v>0</v>
      </c>
      <c r="P3275" s="62">
        <f ca="1" t="shared" si="185"/>
        <v>54</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0" t="s">
        <v>160</v>
      </c>
      <c r="C3276" s="70">
        <v>45904</v>
      </c>
      <c r="D3276" s="120" t="str">
        <f>VLOOKUP(B3276,辅助信息!E:K,7,FALSE)</f>
        <v>JWDDCD2025071500024</v>
      </c>
      <c r="E3276" s="120" t="str">
        <f>VLOOKUP(F3276,辅助信息!A:B,2,FALSE)</f>
        <v>螺纹钢</v>
      </c>
      <c r="F3276" s="120" t="s">
        <v>18</v>
      </c>
      <c r="G3276" s="121">
        <v>24</v>
      </c>
      <c r="H3276" s="134">
        <f>IF(SUMIFS('[1]2025年已发货'!$E:$E,'[1]2025年已发货'!$F:$F,C3276,'[1]2025年已发货'!$C:$C,F3276,'[1]2025年已发货'!$G:$G,I3276,'[1]2025年已发货'!$H:$H,J3276)=0,"未发货",SUMIFS('[1]2025年已发货'!$E:$E,'[1]2025年已发货'!$F:$F,C3276,'[1]2025年已发货'!$C:$C,F3276,'[1]2025年已发货'!$G:$G,I3276,'[1]2025年已发货'!$H:$H,J3276))</f>
        <v>24</v>
      </c>
      <c r="I3276" s="120" t="str">
        <f>VLOOKUP(B3276,辅助信息!E:I,3,FALSE)</f>
        <v>(中铁三局集团西渝高铁康渝段站房四标工程)重庆市九龙坡区华祥支路与华祥路交叉口重庆建工重庆西站TOD项目部</v>
      </c>
      <c r="J3276" s="120" t="str">
        <f>VLOOKUP(B3276,辅助信息!E:I,4,FALSE)</f>
        <v>卢庆江</v>
      </c>
      <c r="K3276" s="120">
        <f>VLOOKUP(J3276,辅助信息!H:I,2,FALSE)</f>
        <v>18883488177</v>
      </c>
      <c r="L3276" s="122" t="str">
        <f>VLOOKUP(B3276,辅助信息!E:J,6,FALSE)</f>
        <v>炉批号尽可能不要多</v>
      </c>
      <c r="M3276" s="91">
        <v>45906</v>
      </c>
      <c r="O3276" s="62">
        <f ca="1" t="shared" si="184"/>
        <v>0</v>
      </c>
      <c r="P3276" s="62">
        <f ca="1" t="shared" si="185"/>
        <v>54</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0" t="s">
        <v>186</v>
      </c>
      <c r="C3277" s="70">
        <v>45906</v>
      </c>
      <c r="D3277" s="120" t="str">
        <f>VLOOKUP(B3277,辅助信息!E:K,7,FALSE)</f>
        <v>JWDDCD2025072900123</v>
      </c>
      <c r="E3277" s="120" t="str">
        <f>VLOOKUP(F3277,辅助信息!A:B,2,FALSE)</f>
        <v>螺纹钢</v>
      </c>
      <c r="F3277" s="120" t="s">
        <v>90</v>
      </c>
      <c r="G3277" s="121">
        <v>8</v>
      </c>
      <c r="H3277" s="134"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0" t="str">
        <f>VLOOKUP(B3277,辅助信息!E:I,3,FALSE)</f>
        <v>(乐山市校地共建产教融合基地建设项目二标段)四川省乐山市市中区苏稽镇</v>
      </c>
      <c r="J3277" s="120" t="str">
        <f>VLOOKUP(B3277,辅助信息!E:I,4,FALSE)</f>
        <v>彭江涛</v>
      </c>
      <c r="K3277" s="120">
        <f>VLOOKUP(J3277,辅助信息!H:I,2,FALSE)</f>
        <v>13990276572</v>
      </c>
      <c r="L3277" s="122" t="str">
        <f>VLOOKUP(B3277,辅助信息!E:J,6,FALSE)</f>
        <v>联系实际收货人（彭江涛13990276572）现场要求炉批号控制2个以下，超2个不给予签收。提前联系到场规格及数量</v>
      </c>
      <c r="M3277" s="91">
        <v>45903</v>
      </c>
      <c r="O3277" s="62">
        <f ca="1" t="shared" si="184"/>
        <v>0</v>
      </c>
      <c r="P3277" s="62">
        <f ca="1" t="shared" si="185"/>
        <v>57</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0" t="s">
        <v>186</v>
      </c>
      <c r="C3278" s="70">
        <v>45906</v>
      </c>
      <c r="D3278" s="120" t="str">
        <f>VLOOKUP(B3278,辅助信息!E:K,7,FALSE)</f>
        <v>JWDDCD2025072900123</v>
      </c>
      <c r="E3278" s="120" t="str">
        <f>VLOOKUP(F3278,辅助信息!A:B,2,FALSE)</f>
        <v>螺纹钢</v>
      </c>
      <c r="F3278" s="120" t="s">
        <v>130</v>
      </c>
      <c r="G3278" s="121">
        <v>5</v>
      </c>
      <c r="H3278" s="134"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0" t="str">
        <f>VLOOKUP(B3278,辅助信息!E:I,3,FALSE)</f>
        <v>(乐山市校地共建产教融合基地建设项目二标段)四川省乐山市市中区苏稽镇</v>
      </c>
      <c r="J3278" s="120" t="str">
        <f>VLOOKUP(B3278,辅助信息!E:I,4,FALSE)</f>
        <v>彭江涛</v>
      </c>
      <c r="K3278" s="120">
        <f>VLOOKUP(J3278,辅助信息!H:I,2,FALSE)</f>
        <v>13990276572</v>
      </c>
      <c r="L3278" s="122" t="str">
        <f>VLOOKUP(B3278,辅助信息!E:J,6,FALSE)</f>
        <v>联系实际收货人（彭江涛13990276572）现场要求炉批号控制2个以下，超2个不给予签收。提前联系到场规格及数量</v>
      </c>
      <c r="M3278" s="91">
        <v>45903</v>
      </c>
      <c r="O3278" s="62">
        <f ca="1" t="shared" si="184"/>
        <v>0</v>
      </c>
      <c r="P3278" s="62">
        <f ca="1" t="shared" si="185"/>
        <v>57</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0" t="s">
        <v>186</v>
      </c>
      <c r="C3279" s="70">
        <v>45906</v>
      </c>
      <c r="D3279" s="120" t="str">
        <f>VLOOKUP(B3279,辅助信息!E:K,7,FALSE)</f>
        <v>JWDDCD2025072900123</v>
      </c>
      <c r="E3279" s="120" t="str">
        <f>VLOOKUP(F3279,辅助信息!A:B,2,FALSE)</f>
        <v>螺纹钢</v>
      </c>
      <c r="F3279" s="120" t="s">
        <v>138</v>
      </c>
      <c r="G3279" s="121">
        <v>5</v>
      </c>
      <c r="H3279" s="134"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0" t="str">
        <f>VLOOKUP(B3279,辅助信息!E:I,3,FALSE)</f>
        <v>(乐山市校地共建产教融合基地建设项目二标段)四川省乐山市市中区苏稽镇</v>
      </c>
      <c r="J3279" s="120" t="str">
        <f>VLOOKUP(B3279,辅助信息!E:I,4,FALSE)</f>
        <v>彭江涛</v>
      </c>
      <c r="K3279" s="120">
        <f>VLOOKUP(J3279,辅助信息!H:I,2,FALSE)</f>
        <v>13990276572</v>
      </c>
      <c r="L3279" s="122" t="str">
        <f>VLOOKUP(B3279,辅助信息!E:J,6,FALSE)</f>
        <v>联系实际收货人（彭江涛13990276572）现场要求炉批号控制2个以下，超2个不给予签收。提前联系到场规格及数量</v>
      </c>
      <c r="M3279" s="91">
        <v>45903</v>
      </c>
      <c r="O3279" s="62">
        <f ca="1" t="shared" si="184"/>
        <v>0</v>
      </c>
      <c r="P3279" s="62">
        <f ca="1" t="shared" si="185"/>
        <v>57</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0" t="s">
        <v>188</v>
      </c>
      <c r="C3280" s="70">
        <v>45908</v>
      </c>
      <c r="D3280" s="120" t="str">
        <f>VLOOKUP(B3280,辅助信息!E:K,7,FALSE)</f>
        <v>JWDDCD2025062200016</v>
      </c>
      <c r="E3280" s="120" t="str">
        <f>VLOOKUP(F3280,辅助信息!A:B,2,FALSE)</f>
        <v>盘螺</v>
      </c>
      <c r="F3280" s="120" t="s">
        <v>40</v>
      </c>
      <c r="G3280" s="121">
        <v>2</v>
      </c>
      <c r="H3280" s="134"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0" t="str">
        <f>VLOOKUP(B3280,辅助信息!E:I,3,FALSE)</f>
        <v>(武汉电气化局成达万高铁强电项目-达州主城区)四川省达州市达川区斌郎街道四川省达州市达川区洞洞湾256米</v>
      </c>
      <c r="J3280" s="120" t="str">
        <f>VLOOKUP(B3280,辅助信息!E:I,4,FALSE)</f>
        <v>余凡</v>
      </c>
      <c r="K3280" s="120">
        <f>VLOOKUP(J3280,辅助信息!H:I,2,FALSE)</f>
        <v>18228076992</v>
      </c>
      <c r="L3280" s="122" t="str">
        <f>VLOOKUP(B3280,辅助信息!E:J,6,FALSE)</f>
        <v>锈货不收！！下雨天钢筋没盖篷布不收！！，装货前联系收货人核实到场规格,没提前告知进场规格现场不给予接收</v>
      </c>
      <c r="M3280" s="91">
        <v>45905</v>
      </c>
      <c r="O3280" s="62">
        <f ca="1" t="shared" si="184"/>
        <v>0</v>
      </c>
      <c r="P3280" s="62">
        <f ca="1" t="shared" si="185"/>
        <v>55</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0" t="s">
        <v>188</v>
      </c>
      <c r="C3281" s="70">
        <v>45908</v>
      </c>
      <c r="D3281" s="120" t="str">
        <f>VLOOKUP(B3281,辅助信息!E:K,7,FALSE)</f>
        <v>JWDDCD2025062200016</v>
      </c>
      <c r="E3281" s="120" t="str">
        <f>VLOOKUP(F3281,辅助信息!A:B,2,FALSE)</f>
        <v>盘螺</v>
      </c>
      <c r="F3281" s="120" t="s">
        <v>41</v>
      </c>
      <c r="G3281" s="121">
        <v>4</v>
      </c>
      <c r="H3281" s="134"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0" t="str">
        <f>VLOOKUP(B3281,辅助信息!E:I,3,FALSE)</f>
        <v>(武汉电气化局成达万高铁强电项目-达州主城区)四川省达州市达川区斌郎街道四川省达州市达川区洞洞湾256米</v>
      </c>
      <c r="J3281" s="120" t="str">
        <f>VLOOKUP(B3281,辅助信息!E:I,4,FALSE)</f>
        <v>余凡</v>
      </c>
      <c r="K3281" s="120">
        <f>VLOOKUP(J3281,辅助信息!H:I,2,FALSE)</f>
        <v>18228076992</v>
      </c>
      <c r="L3281" s="122" t="str">
        <f>VLOOKUP(B3281,辅助信息!E:J,6,FALSE)</f>
        <v>锈货不收！！下雨天钢筋没盖篷布不收！！，装货前联系收货人核实到场规格,没提前告知进场规格现场不给予接收</v>
      </c>
      <c r="M3281" s="91">
        <v>45905</v>
      </c>
      <c r="O3281" s="62">
        <f ca="1" t="shared" si="184"/>
        <v>0</v>
      </c>
      <c r="P3281" s="62">
        <f ca="1" t="shared" si="185"/>
        <v>55</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0" t="s">
        <v>188</v>
      </c>
      <c r="C3282" s="70">
        <v>45904</v>
      </c>
      <c r="D3282" s="120" t="str">
        <f>VLOOKUP(B3282,辅助信息!E:K,7,FALSE)</f>
        <v>JWDDCD2025062200016</v>
      </c>
      <c r="E3282" s="120" t="str">
        <f>VLOOKUP(F3282,辅助信息!A:B,2,FALSE)</f>
        <v>螺纹钢</v>
      </c>
      <c r="F3282" s="120" t="s">
        <v>28</v>
      </c>
      <c r="G3282" s="121">
        <v>6</v>
      </c>
      <c r="H3282" s="134">
        <f>IF(SUMIFS('[1]2025年已发货'!$E:$E,'[1]2025年已发货'!$F:$F,C3282,'[1]2025年已发货'!$C:$C,F3282,'[1]2025年已发货'!$G:$G,I3282,'[1]2025年已发货'!$H:$H,J3282)=0,"未发货",SUMIFS('[1]2025年已发货'!$E:$E,'[1]2025年已发货'!$F:$F,C3282,'[1]2025年已发货'!$C:$C,F3282,'[1]2025年已发货'!$G:$G,I3282,'[1]2025年已发货'!$H:$H,J3282))</f>
        <v>6</v>
      </c>
      <c r="I3282" s="120" t="str">
        <f>VLOOKUP(B3282,辅助信息!E:I,3,FALSE)</f>
        <v>(武汉电气化局成达万高铁强电项目-达州主城区)四川省达州市达川区斌郎街道四川省达州市达川区洞洞湾256米</v>
      </c>
      <c r="J3282" s="120" t="str">
        <f>VLOOKUP(B3282,辅助信息!E:I,4,FALSE)</f>
        <v>余凡</v>
      </c>
      <c r="K3282" s="120">
        <f>VLOOKUP(J3282,辅助信息!H:I,2,FALSE)</f>
        <v>18228076992</v>
      </c>
      <c r="L3282" s="122" t="str">
        <f>VLOOKUP(B3282,辅助信息!E:J,6,FALSE)</f>
        <v>锈货不收！！下雨天钢筋没盖篷布不收！！，装货前联系收货人核实到场规格,没提前告知进场规格现场不给予接收</v>
      </c>
      <c r="M3282" s="91">
        <v>45905</v>
      </c>
      <c r="O3282" s="62">
        <f ca="1" t="shared" si="184"/>
        <v>0</v>
      </c>
      <c r="P3282" s="62">
        <f ca="1" t="shared" si="185"/>
        <v>55</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0" t="s">
        <v>188</v>
      </c>
      <c r="C3283" s="70">
        <v>45908</v>
      </c>
      <c r="D3283" s="120" t="str">
        <f>VLOOKUP(B3283,辅助信息!E:K,7,FALSE)</f>
        <v>JWDDCD2025062200016</v>
      </c>
      <c r="E3283" s="120" t="str">
        <f>VLOOKUP(F3283,辅助信息!A:B,2,FALSE)</f>
        <v>螺纹钢</v>
      </c>
      <c r="F3283" s="120" t="s">
        <v>18</v>
      </c>
      <c r="G3283" s="121">
        <v>14</v>
      </c>
      <c r="H3283" s="134"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0" t="str">
        <f>VLOOKUP(B3283,辅助信息!E:I,3,FALSE)</f>
        <v>(武汉电气化局成达万高铁强电项目-达州主城区)四川省达州市达川区斌郎街道四川省达州市达川区洞洞湾256米</v>
      </c>
      <c r="J3283" s="120" t="str">
        <f>VLOOKUP(B3283,辅助信息!E:I,4,FALSE)</f>
        <v>余凡</v>
      </c>
      <c r="K3283" s="120">
        <f>VLOOKUP(J3283,辅助信息!H:I,2,FALSE)</f>
        <v>18228076992</v>
      </c>
      <c r="L3283" s="122" t="str">
        <f>VLOOKUP(B3283,辅助信息!E:J,6,FALSE)</f>
        <v>锈货不收！！下雨天钢筋没盖篷布不收！！，装货前联系收货人核实到场规格,没提前告知进场规格现场不给予接收</v>
      </c>
      <c r="M3283" s="91">
        <v>45905</v>
      </c>
      <c r="O3283" s="62">
        <f ca="1" t="shared" si="184"/>
        <v>0</v>
      </c>
      <c r="P3283" s="62">
        <f ca="1" t="shared" si="185"/>
        <v>55</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0" t="s">
        <v>188</v>
      </c>
      <c r="C3284" s="70">
        <v>45904</v>
      </c>
      <c r="D3284" s="120" t="str">
        <f>VLOOKUP(B3284,辅助信息!E:K,7,FALSE)</f>
        <v>JWDDCD2025062200016</v>
      </c>
      <c r="E3284" s="120" t="str">
        <f>VLOOKUP(F3284,辅助信息!A:B,2,FALSE)</f>
        <v>螺纹钢</v>
      </c>
      <c r="F3284" s="120" t="s">
        <v>90</v>
      </c>
      <c r="G3284" s="121">
        <v>28</v>
      </c>
      <c r="H3284" s="134">
        <f>IF(SUMIFS('[1]2025年已发货'!$E:$E,'[1]2025年已发货'!$F:$F,C3284,'[1]2025年已发货'!$C:$C,F3284,'[1]2025年已发货'!$G:$G,I3284,'[1]2025年已发货'!$H:$H,J3284)=0,"未发货",SUMIFS('[1]2025年已发货'!$E:$E,'[1]2025年已发货'!$F:$F,C3284,'[1]2025年已发货'!$C:$C,F3284,'[1]2025年已发货'!$G:$G,I3284,'[1]2025年已发货'!$H:$H,J3284))</f>
        <v>28</v>
      </c>
      <c r="I3284" s="120" t="str">
        <f>VLOOKUP(B3284,辅助信息!E:I,3,FALSE)</f>
        <v>(武汉电气化局成达万高铁强电项目-达州主城区)四川省达州市达川区斌郎街道四川省达州市达川区洞洞湾256米</v>
      </c>
      <c r="J3284" s="120" t="str">
        <f>VLOOKUP(B3284,辅助信息!E:I,4,FALSE)</f>
        <v>余凡</v>
      </c>
      <c r="K3284" s="120">
        <f>VLOOKUP(J3284,辅助信息!H:I,2,FALSE)</f>
        <v>18228076992</v>
      </c>
      <c r="L3284" s="122" t="str">
        <f>VLOOKUP(B3284,辅助信息!E:J,6,FALSE)</f>
        <v>锈货不收！！下雨天钢筋没盖篷布不收！！，装货前联系收货人核实到场规格,没提前告知进场规格现场不给予接收</v>
      </c>
      <c r="M3284" s="91">
        <v>45905</v>
      </c>
      <c r="O3284" s="62">
        <f ca="1" t="shared" si="184"/>
        <v>0</v>
      </c>
      <c r="P3284" s="62">
        <f ca="1" t="shared" si="185"/>
        <v>55</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0" t="s">
        <v>180</v>
      </c>
      <c r="C3285" s="70">
        <v>45905</v>
      </c>
      <c r="D3285" s="120" t="str">
        <f>VLOOKUP(B3285,辅助信息!E:K,7,FALSE)</f>
        <v>JWDDCD2025052800131</v>
      </c>
      <c r="E3285" s="120" t="str">
        <f>VLOOKUP(F3285,辅助信息!A:B,2,FALSE)</f>
        <v>盘螺</v>
      </c>
      <c r="F3285" s="120" t="s">
        <v>41</v>
      </c>
      <c r="G3285" s="121">
        <v>5</v>
      </c>
      <c r="H3285" s="134">
        <f>IF(SUMIFS('[1]2025年已发货'!$E:$E,'[1]2025年已发货'!$F:$F,C3285,'[1]2025年已发货'!$C:$C,F3285,'[1]2025年已发货'!$G:$G,I3285,'[1]2025年已发货'!$H:$H,J3285)=0,"未发货",SUMIFS('[1]2025年已发货'!$E:$E,'[1]2025年已发货'!$F:$F,C3285,'[1]2025年已发货'!$C:$C,F3285,'[1]2025年已发货'!$G:$G,I3285,'[1]2025年已发货'!$H:$H,J3285))</f>
        <v>5</v>
      </c>
      <c r="I3285" s="120" t="str">
        <f>VLOOKUP(B3285,辅助信息!E:I,3,FALSE)</f>
        <v>（商投建工达州中医药科技园-4工区-8号楼）达州市通川区达州中医药职业学院犀牛大道北段</v>
      </c>
      <c r="J3285" s="120" t="str">
        <f>VLOOKUP(B3285,辅助信息!E:I,4,FALSE)</f>
        <v>张扬</v>
      </c>
      <c r="K3285" s="120">
        <f>VLOOKUP(J3285,辅助信息!H:I,2,FALSE)</f>
        <v>18381904567</v>
      </c>
      <c r="L3285" s="122" t="str">
        <f>VLOOKUP(B3285,辅助信息!E:J,6,FALSE)</f>
        <v>控制炉批号！多了现场不收！,优先安排达钢,提前联系到场规格及数量</v>
      </c>
      <c r="M3285" s="91"/>
      <c r="O3285" s="62" t="str">
        <f ca="1" t="shared" si="184"/>
        <v/>
      </c>
      <c r="P3285" s="62"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0">
        <v>45905</v>
      </c>
      <c r="D3286" s="40" t="str">
        <f>VLOOKUP(B3286,辅助信息!E:K,7,FALSE)</f>
        <v>JWDDCD2025052800131</v>
      </c>
      <c r="E3286" s="40" t="str">
        <f>VLOOKUP(F3286,辅助信息!A:B,2,FALSE)</f>
        <v>螺纹钢</v>
      </c>
      <c r="F3286" s="40" t="s">
        <v>66</v>
      </c>
      <c r="G3286" s="36">
        <v>15</v>
      </c>
      <c r="H3286" s="134">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09" t="str">
        <f>VLOOKUP(B3286,辅助信息!E:J,6,FALSE)</f>
        <v>控制炉批号！多了现场不收！,优先安排达钢,提前联系到场规格及数量</v>
      </c>
      <c r="O3286" s="62" t="str">
        <f ca="1" t="shared" si="184"/>
        <v/>
      </c>
      <c r="P3286" s="62"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0">
        <v>45905</v>
      </c>
      <c r="D3287" s="40" t="str">
        <f>VLOOKUP(B3287,辅助信息!E:K,7,FALSE)</f>
        <v>JWDDCD2025052800131</v>
      </c>
      <c r="E3287" s="40" t="str">
        <f>VLOOKUP(F3287,辅助信息!A:B,2,FALSE)</f>
        <v>螺纹钢</v>
      </c>
      <c r="F3287" s="40" t="s">
        <v>82</v>
      </c>
      <c r="G3287" s="36">
        <v>3</v>
      </c>
      <c r="H3287" s="134">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09" t="str">
        <f>VLOOKUP(B3287,辅助信息!E:J,6,FALSE)</f>
        <v>控制炉批号！多了现场不收！,优先安排达钢,提前联系到场规格及数量</v>
      </c>
      <c r="O3287" s="62" t="str">
        <f ca="1" t="shared" si="184"/>
        <v/>
      </c>
      <c r="P3287" s="62"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0">
        <v>45905</v>
      </c>
      <c r="D3288" s="40" t="str">
        <f>VLOOKUP(B3288,辅助信息!E:K,7,FALSE)</f>
        <v>JWDDCD2025052800131</v>
      </c>
      <c r="E3288" s="40" t="str">
        <f>VLOOKUP(F3288,辅助信息!A:B,2,FALSE)</f>
        <v>螺纹钢</v>
      </c>
      <c r="F3288" s="40" t="s">
        <v>45</v>
      </c>
      <c r="G3288" s="36">
        <v>12</v>
      </c>
      <c r="H3288" s="134">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09" t="str">
        <f>VLOOKUP(B3288,辅助信息!E:J,6,FALSE)</f>
        <v>控制炉批号！多了现场不收！,优先安排达钢,提前联系到场规格及数量</v>
      </c>
      <c r="O3288" s="62" t="str">
        <f ca="1" t="shared" si="184"/>
        <v/>
      </c>
      <c r="P3288" s="62"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0">
        <v>45905</v>
      </c>
      <c r="D3289" s="40" t="str">
        <f>VLOOKUP(B3289,辅助信息!E:K,7,FALSE)</f>
        <v>JWDDCD2025052800131</v>
      </c>
      <c r="E3289" s="40" t="str">
        <f>VLOOKUP(F3289,辅助信息!A:B,2,FALSE)</f>
        <v>螺纹钢</v>
      </c>
      <c r="F3289" s="40" t="s">
        <v>22</v>
      </c>
      <c r="G3289" s="36">
        <v>15</v>
      </c>
      <c r="H3289" s="134">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09" t="str">
        <f>VLOOKUP(B3289,辅助信息!E:J,6,FALSE)</f>
        <v>控制炉批号！多了现场不收！,优先安排达钢,提前联系到场规格及数量</v>
      </c>
      <c r="O3289" s="62" t="str">
        <f ca="1" t="shared" si="184"/>
        <v/>
      </c>
      <c r="P3289" s="62"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0">
        <v>45908</v>
      </c>
      <c r="D3290" s="40" t="str">
        <f>VLOOKUP(B3290,辅助信息!E:K,7,FALSE)</f>
        <v>JWDDCD2025062200016</v>
      </c>
      <c r="E3290" s="40" t="str">
        <f>VLOOKUP(F3290,辅助信息!A:B,2,FALSE)</f>
        <v>盘螺</v>
      </c>
      <c r="F3290" s="40" t="s">
        <v>41</v>
      </c>
      <c r="G3290" s="36">
        <v>7.38</v>
      </c>
      <c r="H3290" s="134"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09" t="str">
        <f>VLOOKUP(B3290,辅助信息!E:J,6,FALSE)</f>
        <v>锈货不收！！下雨天钢筋没盖篷布不收！！，装货前联系收货人核实到场规格,没提前告知进场规格现场不给予接收</v>
      </c>
      <c r="M3290" s="91">
        <v>45910</v>
      </c>
      <c r="O3290" s="62">
        <f ca="1" t="shared" si="184"/>
        <v>0</v>
      </c>
      <c r="P3290" s="62">
        <f ca="1" t="shared" si="185"/>
        <v>50</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0">
        <v>45908</v>
      </c>
      <c r="D3291" s="40" t="str">
        <f>VLOOKUP(B3291,辅助信息!E:K,7,FALSE)</f>
        <v>JWDDCD2025062200016</v>
      </c>
      <c r="E3291" s="40" t="str">
        <f>VLOOKUP(F3291,辅助信息!A:B,2,FALSE)</f>
        <v>螺纹钢</v>
      </c>
      <c r="F3291" s="40" t="s">
        <v>27</v>
      </c>
      <c r="G3291" s="36">
        <v>7.78</v>
      </c>
      <c r="H3291" s="134">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09" t="str">
        <f>VLOOKUP(B3291,辅助信息!E:J,6,FALSE)</f>
        <v>锈货不收！！下雨天钢筋没盖篷布不收！！，装货前联系收货人核实到场规格,没提前告知进场规格现场不给予接收</v>
      </c>
      <c r="M3291" s="91">
        <v>45910</v>
      </c>
      <c r="O3291" s="62">
        <f ca="1" t="shared" si="184"/>
        <v>0</v>
      </c>
      <c r="P3291" s="62">
        <f ca="1" t="shared" si="185"/>
        <v>50</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0">
        <v>45908</v>
      </c>
      <c r="D3292" s="40" t="str">
        <f>VLOOKUP(B3292,辅助信息!E:K,7,FALSE)</f>
        <v>JWDDCD2025062200016</v>
      </c>
      <c r="E3292" s="40" t="str">
        <f>VLOOKUP(F3292,辅助信息!A:B,2,FALSE)</f>
        <v>螺纹钢</v>
      </c>
      <c r="F3292" s="40" t="s">
        <v>19</v>
      </c>
      <c r="G3292" s="146">
        <v>3</v>
      </c>
      <c r="H3292" s="134">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09" t="str">
        <f>VLOOKUP(B3292,辅助信息!E:J,6,FALSE)</f>
        <v>锈货不收！！下雨天钢筋没盖篷布不收！！，装货前联系收货人核实到场规格,没提前告知进场规格现场不给予接收</v>
      </c>
      <c r="M3292" s="91">
        <v>45910</v>
      </c>
      <c r="O3292" s="62">
        <f ca="1" t="shared" si="184"/>
        <v>0</v>
      </c>
      <c r="P3292" s="62">
        <f ca="1" t="shared" si="185"/>
        <v>50</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0">
        <v>45908</v>
      </c>
      <c r="D3293" s="40" t="str">
        <f>VLOOKUP(B3293,辅助信息!E:K,7,FALSE)</f>
        <v>JWDDCD2025062200016</v>
      </c>
      <c r="E3293" s="40" t="str">
        <f>VLOOKUP(F3293,辅助信息!A:B,2,FALSE)</f>
        <v>螺纹钢</v>
      </c>
      <c r="F3293" s="40" t="s">
        <v>32</v>
      </c>
      <c r="G3293" s="146">
        <v>15.51</v>
      </c>
      <c r="H3293" s="134">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09" t="str">
        <f>VLOOKUP(B3293,辅助信息!E:J,6,FALSE)</f>
        <v>锈货不收！！下雨天钢筋没盖篷布不收！！，装货前联系收货人核实到场规格,没提前告知进场规格现场不给予接收</v>
      </c>
      <c r="M3293" s="91">
        <v>45910</v>
      </c>
      <c r="O3293" s="62">
        <f ca="1" t="shared" si="184"/>
        <v>0</v>
      </c>
      <c r="P3293" s="62">
        <f ca="1" t="shared" si="185"/>
        <v>50</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0">
        <v>45908</v>
      </c>
      <c r="D3294" s="40" t="str">
        <f>VLOOKUP(B3294,辅助信息!E:K,7,FALSE)</f>
        <v>JWDDCD2025062200016</v>
      </c>
      <c r="E3294" s="40" t="str">
        <f>VLOOKUP(F3294,辅助信息!A:B,2,FALSE)</f>
        <v>螺纹钢</v>
      </c>
      <c r="F3294" s="40" t="s">
        <v>30</v>
      </c>
      <c r="G3294" s="146">
        <v>7.13</v>
      </c>
      <c r="H3294" s="134"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09" t="str">
        <f>VLOOKUP(B3294,辅助信息!E:J,6,FALSE)</f>
        <v>锈货不收！！下雨天钢筋没盖篷布不收！！，装货前联系收货人核实到场规格,没提前告知进场规格现场不给予接收</v>
      </c>
      <c r="M3294" s="91">
        <v>45910</v>
      </c>
      <c r="O3294" s="62">
        <f ca="1" t="shared" si="184"/>
        <v>0</v>
      </c>
      <c r="P3294" s="62">
        <f ca="1" t="shared" si="185"/>
        <v>50</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0">
        <v>45908</v>
      </c>
      <c r="D3295" s="40" t="str">
        <f>VLOOKUP(B3295,辅助信息!E:K,7,FALSE)</f>
        <v>JWDDCD2025062200016</v>
      </c>
      <c r="E3295" s="40" t="str">
        <f>VLOOKUP(F3295,辅助信息!A:B,2,FALSE)</f>
        <v>螺纹钢</v>
      </c>
      <c r="F3295" s="40" t="s">
        <v>33</v>
      </c>
      <c r="G3295" s="146">
        <v>5.14</v>
      </c>
      <c r="H3295" s="134"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09" t="str">
        <f>VLOOKUP(B3295,辅助信息!E:J,6,FALSE)</f>
        <v>锈货不收！！下雨天钢筋没盖篷布不收！！，装货前联系收货人核实到场规格,没提前告知进场规格现场不给予接收</v>
      </c>
      <c r="M3295" s="91">
        <v>45910</v>
      </c>
      <c r="O3295" s="62">
        <f ca="1" t="shared" si="184"/>
        <v>0</v>
      </c>
      <c r="P3295" s="62">
        <f ca="1" t="shared" si="185"/>
        <v>50</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0">
        <v>45908</v>
      </c>
      <c r="D3296" s="40" t="str">
        <f>VLOOKUP(B3296,辅助信息!E:K,7,FALSE)</f>
        <v>JWDDCD2025062200016</v>
      </c>
      <c r="E3296" s="40" t="str">
        <f>VLOOKUP(F3296,辅助信息!A:B,2,FALSE)</f>
        <v>螺纹钢</v>
      </c>
      <c r="F3296" s="40" t="s">
        <v>28</v>
      </c>
      <c r="G3296" s="146">
        <v>7.28</v>
      </c>
      <c r="H3296" s="134">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09" t="str">
        <f>VLOOKUP(B3296,辅助信息!E:J,6,FALSE)</f>
        <v>锈货不收！！下雨天钢筋没盖篷布不收！！，装货前联系收货人核实到场规格,没提前告知进场规格现场不给予接收</v>
      </c>
      <c r="M3296" s="91">
        <v>45910</v>
      </c>
      <c r="O3296" s="62">
        <f ca="1" t="shared" ref="O3296:O3359" si="186">IF(OR(M3296="",N3296&lt;&gt;""),"",MAX(M3296-TODAY(),0))</f>
        <v>0</v>
      </c>
      <c r="P3296" s="62">
        <f ca="1" t="shared" ref="P3296:P3359" si="187">IF(M3296="","",IF(N3296&lt;&gt;"",MAX(N3296-M3296,0),IF(TODAY()&gt;M3296,TODAY()-M3296,0)))</f>
        <v>50</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0">
        <v>45908</v>
      </c>
      <c r="D3297" s="40" t="str">
        <f>VLOOKUP(B3297,辅助信息!E:K,7,FALSE)</f>
        <v>JWDDCD2025062200016</v>
      </c>
      <c r="E3297" s="40" t="str">
        <f>VLOOKUP(F3297,辅助信息!A:B,2,FALSE)</f>
        <v>螺纹钢</v>
      </c>
      <c r="F3297" s="40" t="s">
        <v>18</v>
      </c>
      <c r="G3297" s="146">
        <v>6.4</v>
      </c>
      <c r="H3297" s="134"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09" t="str">
        <f>VLOOKUP(B3297,辅助信息!E:J,6,FALSE)</f>
        <v>锈货不收！！下雨天钢筋没盖篷布不收！！，装货前联系收货人核实到场规格,没提前告知进场规格现场不给予接收</v>
      </c>
      <c r="M3297" s="91">
        <v>45910</v>
      </c>
      <c r="O3297" s="62">
        <f ca="1" t="shared" si="186"/>
        <v>0</v>
      </c>
      <c r="P3297" s="62">
        <f ca="1" t="shared" si="187"/>
        <v>50</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0">
        <v>45908</v>
      </c>
      <c r="D3298" s="40" t="str">
        <f>VLOOKUP(B3298,辅助信息!E:K,7,FALSE)</f>
        <v>JWDDCD2025062200016</v>
      </c>
      <c r="E3298" s="40" t="str">
        <f>VLOOKUP(F3298,辅助信息!A:B,2,FALSE)</f>
        <v>螺纹钢</v>
      </c>
      <c r="F3298" s="40" t="s">
        <v>65</v>
      </c>
      <c r="G3298" s="146">
        <v>3</v>
      </c>
      <c r="H3298" s="134"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09" t="str">
        <f>VLOOKUP(B3298,辅助信息!E:J,6,FALSE)</f>
        <v>锈货不收！！下雨天钢筋没盖篷布不收！！，装货前联系收货人核实到场规格,没提前告知进场规格现场不给予接收</v>
      </c>
      <c r="M3298" s="91">
        <v>45910</v>
      </c>
      <c r="O3298" s="62">
        <f ca="1" t="shared" si="186"/>
        <v>0</v>
      </c>
      <c r="P3298" s="62">
        <f ca="1" t="shared" si="187"/>
        <v>50</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0">
        <v>45908</v>
      </c>
      <c r="D3299" s="40" t="str">
        <f>VLOOKUP(B3299,辅助信息!E:K,7,FALSE)</f>
        <v>JWDDCD2025062200016</v>
      </c>
      <c r="E3299" s="40" t="str">
        <f>VLOOKUP(F3299,辅助信息!A:B,2,FALSE)</f>
        <v>盘螺</v>
      </c>
      <c r="F3299" s="40" t="s">
        <v>41</v>
      </c>
      <c r="G3299" s="146">
        <v>10.47</v>
      </c>
      <c r="H3299" s="134"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09" t="str">
        <f>VLOOKUP(B3299,辅助信息!E:J,6,FALSE)</f>
        <v>锈货不收！！下雨天钢筋没盖篷布不收！！，装货前联系收货人核实到场规格,没提前告知进场规格现场不给予接收</v>
      </c>
      <c r="M3299" s="91">
        <v>45910</v>
      </c>
      <c r="O3299" s="62">
        <f ca="1" t="shared" si="186"/>
        <v>0</v>
      </c>
      <c r="P3299" s="62">
        <f ca="1" t="shared" si="187"/>
        <v>50</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0">
        <v>45908</v>
      </c>
      <c r="D3300" s="40" t="str">
        <f>VLOOKUP(B3300,辅助信息!E:K,7,FALSE)</f>
        <v>JWDDCD2025062200016</v>
      </c>
      <c r="E3300" s="40" t="str">
        <f>VLOOKUP(F3300,辅助信息!A:B,2,FALSE)</f>
        <v>螺纹钢</v>
      </c>
      <c r="F3300" s="40" t="s">
        <v>27</v>
      </c>
      <c r="G3300" s="146">
        <v>9.23</v>
      </c>
      <c r="H3300" s="134">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09" t="str">
        <f>VLOOKUP(B3300,辅助信息!E:J,6,FALSE)</f>
        <v>锈货不收！！下雨天钢筋没盖篷布不收！！，装货前联系收货人核实到场规格,没提前告知进场规格现场不给予接收</v>
      </c>
      <c r="M3300" s="91">
        <v>45910</v>
      </c>
      <c r="O3300" s="62">
        <f ca="1" t="shared" si="186"/>
        <v>0</v>
      </c>
      <c r="P3300" s="62">
        <f ca="1" t="shared" si="187"/>
        <v>50</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0">
        <v>45908</v>
      </c>
      <c r="D3301" s="40" t="str">
        <f>VLOOKUP(B3301,辅助信息!E:K,7,FALSE)</f>
        <v>JWDDCD2025062200016</v>
      </c>
      <c r="E3301" s="40" t="str">
        <f>VLOOKUP(F3301,辅助信息!A:B,2,FALSE)</f>
        <v>螺纹钢</v>
      </c>
      <c r="F3301" s="40" t="s">
        <v>19</v>
      </c>
      <c r="G3301" s="146">
        <v>3</v>
      </c>
      <c r="H3301" s="134">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09" t="str">
        <f>VLOOKUP(B3301,辅助信息!E:J,6,FALSE)</f>
        <v>锈货不收！！下雨天钢筋没盖篷布不收！！，装货前联系收货人核实到场规格,没提前告知进场规格现场不给予接收</v>
      </c>
      <c r="M3301" s="91">
        <v>45910</v>
      </c>
      <c r="O3301" s="62">
        <f ca="1" t="shared" si="186"/>
        <v>0</v>
      </c>
      <c r="P3301" s="62">
        <f ca="1" t="shared" si="187"/>
        <v>50</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0">
        <v>45908</v>
      </c>
      <c r="D3302" s="40" t="str">
        <f>VLOOKUP(B3302,辅助信息!E:K,7,FALSE)</f>
        <v>JWDDCD2025062200016</v>
      </c>
      <c r="E3302" s="40" t="str">
        <f>VLOOKUP(F3302,辅助信息!A:B,2,FALSE)</f>
        <v>螺纹钢</v>
      </c>
      <c r="F3302" s="40" t="s">
        <v>32</v>
      </c>
      <c r="G3302" s="146">
        <v>20.78</v>
      </c>
      <c r="H3302" s="134">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09" t="str">
        <f>VLOOKUP(B3302,辅助信息!E:J,6,FALSE)</f>
        <v>锈货不收！！下雨天钢筋没盖篷布不收！！，装货前联系收货人核实到场规格,没提前告知进场规格现场不给予接收</v>
      </c>
      <c r="M3302" s="91">
        <v>45910</v>
      </c>
      <c r="O3302" s="62">
        <f ca="1" t="shared" si="186"/>
        <v>0</v>
      </c>
      <c r="P3302" s="62">
        <f ca="1" t="shared" si="187"/>
        <v>50</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0">
        <v>45908</v>
      </c>
      <c r="D3303" s="40" t="str">
        <f>VLOOKUP(B3303,辅助信息!E:K,7,FALSE)</f>
        <v>JWDDCD2025062200016</v>
      </c>
      <c r="E3303" s="40" t="str">
        <f>VLOOKUP(F3303,辅助信息!A:B,2,FALSE)</f>
        <v>螺纹钢</v>
      </c>
      <c r="F3303" s="40" t="s">
        <v>30</v>
      </c>
      <c r="G3303" s="146">
        <v>7.13</v>
      </c>
      <c r="H3303" s="134"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09" t="str">
        <f>VLOOKUP(B3303,辅助信息!E:J,6,FALSE)</f>
        <v>锈货不收！！下雨天钢筋没盖篷布不收！！，装货前联系收货人核实到场规格,没提前告知进场规格现场不给予接收</v>
      </c>
      <c r="M3303" s="91">
        <v>45910</v>
      </c>
      <c r="O3303" s="62">
        <f ca="1" t="shared" si="186"/>
        <v>0</v>
      </c>
      <c r="P3303" s="62">
        <f ca="1" t="shared" si="187"/>
        <v>50</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0">
        <v>45908</v>
      </c>
      <c r="D3304" s="40" t="str">
        <f>VLOOKUP(B3304,辅助信息!E:K,7,FALSE)</f>
        <v>JWDDCD2025062200016</v>
      </c>
      <c r="E3304" s="40" t="str">
        <f>VLOOKUP(F3304,辅助信息!A:B,2,FALSE)</f>
        <v>螺纹钢</v>
      </c>
      <c r="F3304" s="40" t="s">
        <v>33</v>
      </c>
      <c r="G3304" s="146">
        <v>7.46</v>
      </c>
      <c r="H3304" s="134"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09" t="str">
        <f>VLOOKUP(B3304,辅助信息!E:J,6,FALSE)</f>
        <v>锈货不收！！下雨天钢筋没盖篷布不收！！，装货前联系收货人核实到场规格,没提前告知进场规格现场不给予接收</v>
      </c>
      <c r="M3304" s="91">
        <v>45910</v>
      </c>
      <c r="O3304" s="62">
        <f ca="1" t="shared" si="186"/>
        <v>0</v>
      </c>
      <c r="P3304" s="62">
        <f ca="1" t="shared" si="187"/>
        <v>50</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0">
        <v>45908</v>
      </c>
      <c r="D3305" s="40" t="str">
        <f>VLOOKUP(B3305,辅助信息!E:K,7,FALSE)</f>
        <v>JWDDCD2025062200016</v>
      </c>
      <c r="E3305" s="40" t="str">
        <f>VLOOKUP(F3305,辅助信息!A:B,2,FALSE)</f>
        <v>螺纹钢</v>
      </c>
      <c r="F3305" s="40" t="s">
        <v>28</v>
      </c>
      <c r="G3305" s="146">
        <v>7.98</v>
      </c>
      <c r="H3305" s="134"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09" t="str">
        <f>VLOOKUP(B3305,辅助信息!E:J,6,FALSE)</f>
        <v>锈货不收！！下雨天钢筋没盖篷布不收！！，装货前联系收货人核实到场规格,没提前告知进场规格现场不给予接收</v>
      </c>
      <c r="M3305" s="91">
        <v>45910</v>
      </c>
      <c r="O3305" s="62">
        <f ca="1" t="shared" si="186"/>
        <v>0</v>
      </c>
      <c r="P3305" s="62">
        <f ca="1" t="shared" si="187"/>
        <v>50</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0">
        <v>45908</v>
      </c>
      <c r="D3306" s="40" t="str">
        <f>VLOOKUP(B3306,辅助信息!E:K,7,FALSE)</f>
        <v>JWDDCD2025062200016</v>
      </c>
      <c r="E3306" s="40" t="str">
        <f>VLOOKUP(F3306,辅助信息!A:B,2,FALSE)</f>
        <v>螺纹钢</v>
      </c>
      <c r="F3306" s="40" t="s">
        <v>18</v>
      </c>
      <c r="G3306" s="146">
        <v>8.34</v>
      </c>
      <c r="H3306" s="134"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09" t="str">
        <f>VLOOKUP(B3306,辅助信息!E:J,6,FALSE)</f>
        <v>锈货不收！！下雨天钢筋没盖篷布不收！！，装货前联系收货人核实到场规格,没提前告知进场规格现场不给予接收</v>
      </c>
      <c r="M3306" s="91">
        <v>45910</v>
      </c>
      <c r="O3306" s="62">
        <f ca="1" t="shared" si="186"/>
        <v>0</v>
      </c>
      <c r="P3306" s="62">
        <f ca="1" t="shared" si="187"/>
        <v>50</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0">
        <v>45908</v>
      </c>
      <c r="D3307" s="40" t="str">
        <f>VLOOKUP(B3307,辅助信息!E:K,7,FALSE)</f>
        <v>JWDDCD2025062200016</v>
      </c>
      <c r="E3307" s="40" t="str">
        <f>VLOOKUP(F3307,辅助信息!A:B,2,FALSE)</f>
        <v>螺纹钢</v>
      </c>
      <c r="F3307" s="40" t="s">
        <v>65</v>
      </c>
      <c r="G3307" s="146">
        <v>3</v>
      </c>
      <c r="H3307" s="134">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09" t="str">
        <f>VLOOKUP(B3307,辅助信息!E:J,6,FALSE)</f>
        <v>锈货不收！！下雨天钢筋没盖篷布不收！！，装货前联系收货人核实到场规格,没提前告知进场规格现场不给予接收</v>
      </c>
      <c r="M3307" s="91">
        <v>45910</v>
      </c>
      <c r="O3307" s="62">
        <f ca="1" t="shared" si="186"/>
        <v>0</v>
      </c>
      <c r="P3307" s="62">
        <f ca="1" t="shared" si="187"/>
        <v>50</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0">
        <v>45908</v>
      </c>
      <c r="D3308" s="40" t="str">
        <f>VLOOKUP(B3308,辅助信息!E:K,7,FALSE)</f>
        <v>JWDDCD2025062200016</v>
      </c>
      <c r="E3308" s="40" t="str">
        <f>VLOOKUP(F3308,辅助信息!A:B,2,FALSE)</f>
        <v>盘螺</v>
      </c>
      <c r="F3308" s="40" t="s">
        <v>41</v>
      </c>
      <c r="G3308" s="146">
        <v>8.67</v>
      </c>
      <c r="H3308" s="134"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09" t="str">
        <f>VLOOKUP(B3308,辅助信息!E:J,6,FALSE)</f>
        <v>锈货不收！！下雨天钢筋没盖篷布不收！！，装货前联系收货人核实到场规格,没提前告知进场规格现场不给予接收</v>
      </c>
      <c r="M3308" s="91">
        <v>45910</v>
      </c>
      <c r="O3308" s="62">
        <f ca="1" t="shared" si="186"/>
        <v>0</v>
      </c>
      <c r="P3308" s="62">
        <f ca="1" t="shared" si="187"/>
        <v>50</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0">
        <v>45908</v>
      </c>
      <c r="D3309" s="40" t="str">
        <f>VLOOKUP(B3309,辅助信息!E:K,7,FALSE)</f>
        <v>JWDDCD2025062200016</v>
      </c>
      <c r="E3309" s="40" t="str">
        <f>VLOOKUP(F3309,辅助信息!A:B,2,FALSE)</f>
        <v>螺纹钢</v>
      </c>
      <c r="F3309" s="40" t="s">
        <v>27</v>
      </c>
      <c r="G3309" s="146">
        <v>7.63</v>
      </c>
      <c r="H3309" s="134">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09" t="str">
        <f>VLOOKUP(B3309,辅助信息!E:J,6,FALSE)</f>
        <v>锈货不收！！下雨天钢筋没盖篷布不收！！，装货前联系收货人核实到场规格,没提前告知进场规格现场不给予接收</v>
      </c>
      <c r="M3309" s="91">
        <v>45910</v>
      </c>
      <c r="O3309" s="62">
        <f ca="1" t="shared" si="186"/>
        <v>0</v>
      </c>
      <c r="P3309" s="62">
        <f ca="1" t="shared" si="187"/>
        <v>50</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0">
        <v>45908</v>
      </c>
      <c r="D3310" s="40" t="str">
        <f>VLOOKUP(B3310,辅助信息!E:K,7,FALSE)</f>
        <v>JWDDCD2025062200016</v>
      </c>
      <c r="E3310" s="40" t="str">
        <f>VLOOKUP(F3310,辅助信息!A:B,2,FALSE)</f>
        <v>螺纹钢</v>
      </c>
      <c r="F3310" s="40" t="s">
        <v>19</v>
      </c>
      <c r="G3310" s="146">
        <v>3</v>
      </c>
      <c r="H3310" s="134">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09" t="str">
        <f>VLOOKUP(B3310,辅助信息!E:J,6,FALSE)</f>
        <v>锈货不收！！下雨天钢筋没盖篷布不收！！，装货前联系收货人核实到场规格,没提前告知进场规格现场不给予接收</v>
      </c>
      <c r="M3310" s="91">
        <v>45910</v>
      </c>
      <c r="O3310" s="62">
        <f ca="1" t="shared" si="186"/>
        <v>0</v>
      </c>
      <c r="P3310" s="62">
        <f ca="1" t="shared" si="187"/>
        <v>50</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0">
        <v>45908</v>
      </c>
      <c r="D3311" s="40" t="str">
        <f>VLOOKUP(B3311,辅助信息!E:K,7,FALSE)</f>
        <v>JWDDCD2025062200016</v>
      </c>
      <c r="E3311" s="40" t="str">
        <f>VLOOKUP(F3311,辅助信息!A:B,2,FALSE)</f>
        <v>螺纹钢</v>
      </c>
      <c r="F3311" s="40" t="s">
        <v>32</v>
      </c>
      <c r="G3311" s="146">
        <v>19.79</v>
      </c>
      <c r="H3311" s="134">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09" t="str">
        <f>VLOOKUP(B3311,辅助信息!E:J,6,FALSE)</f>
        <v>锈货不收！！下雨天钢筋没盖篷布不收！！，装货前联系收货人核实到场规格,没提前告知进场规格现场不给予接收</v>
      </c>
      <c r="M3311" s="91">
        <v>45910</v>
      </c>
      <c r="O3311" s="62">
        <f ca="1" t="shared" si="186"/>
        <v>0</v>
      </c>
      <c r="P3311" s="62">
        <f ca="1" t="shared" si="187"/>
        <v>50</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0">
        <v>45908</v>
      </c>
      <c r="D3312" s="40" t="str">
        <f>VLOOKUP(B3312,辅助信息!E:K,7,FALSE)</f>
        <v>JWDDCD2025062200016</v>
      </c>
      <c r="E3312" s="40" t="str">
        <f>VLOOKUP(F3312,辅助信息!A:B,2,FALSE)</f>
        <v>螺纹钢</v>
      </c>
      <c r="F3312" s="40" t="s">
        <v>30</v>
      </c>
      <c r="G3312" s="146">
        <v>7.13</v>
      </c>
      <c r="H3312" s="134"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09" t="str">
        <f>VLOOKUP(B3312,辅助信息!E:J,6,FALSE)</f>
        <v>锈货不收！！下雨天钢筋没盖篷布不收！！，装货前联系收货人核实到场规格,没提前告知进场规格现场不给予接收</v>
      </c>
      <c r="M3312" s="91">
        <v>45910</v>
      </c>
      <c r="O3312" s="62">
        <f ca="1" t="shared" si="186"/>
        <v>0</v>
      </c>
      <c r="P3312" s="62">
        <f ca="1" t="shared" si="187"/>
        <v>50</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0">
        <v>45908</v>
      </c>
      <c r="D3313" s="40" t="str">
        <f>VLOOKUP(B3313,辅助信息!E:K,7,FALSE)</f>
        <v>JWDDCD2025062200016</v>
      </c>
      <c r="E3313" s="40" t="str">
        <f>VLOOKUP(F3313,辅助信息!A:B,2,FALSE)</f>
        <v>螺纹钢</v>
      </c>
      <c r="F3313" s="40" t="s">
        <v>33</v>
      </c>
      <c r="G3313" s="146">
        <v>5.97</v>
      </c>
      <c r="H3313" s="134"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09" t="str">
        <f>VLOOKUP(B3313,辅助信息!E:J,6,FALSE)</f>
        <v>锈货不收！！下雨天钢筋没盖篷布不收！！，装货前联系收货人核实到场规格,没提前告知进场规格现场不给予接收</v>
      </c>
      <c r="M3313" s="91">
        <v>45910</v>
      </c>
      <c r="O3313" s="62">
        <f ca="1" t="shared" si="186"/>
        <v>0</v>
      </c>
      <c r="P3313" s="62">
        <f ca="1" t="shared" si="187"/>
        <v>50</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0">
        <v>45908</v>
      </c>
      <c r="D3314" s="40" t="str">
        <f>VLOOKUP(B3314,辅助信息!E:K,7,FALSE)</f>
        <v>JWDDCD2025062200016</v>
      </c>
      <c r="E3314" s="40" t="str">
        <f>VLOOKUP(F3314,辅助信息!A:B,2,FALSE)</f>
        <v>螺纹钢</v>
      </c>
      <c r="F3314" s="40" t="s">
        <v>28</v>
      </c>
      <c r="G3314" s="146">
        <v>7.53</v>
      </c>
      <c r="H3314" s="134">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09" t="str">
        <f>VLOOKUP(B3314,辅助信息!E:J,6,FALSE)</f>
        <v>锈货不收！！下雨天钢筋没盖篷布不收！！，装货前联系收货人核实到场规格,没提前告知进场规格现场不给予接收</v>
      </c>
      <c r="M3314" s="91">
        <v>45910</v>
      </c>
      <c r="O3314" s="62">
        <f ca="1" t="shared" si="186"/>
        <v>0</v>
      </c>
      <c r="P3314" s="62">
        <f ca="1" t="shared" si="187"/>
        <v>50</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0">
        <v>45908</v>
      </c>
      <c r="D3315" s="40" t="str">
        <f>VLOOKUP(B3315,辅助信息!E:K,7,FALSE)</f>
        <v>JWDDCD2025062200016</v>
      </c>
      <c r="E3315" s="40" t="str">
        <f>VLOOKUP(F3315,辅助信息!A:B,2,FALSE)</f>
        <v>螺纹钢</v>
      </c>
      <c r="F3315" s="40" t="s">
        <v>18</v>
      </c>
      <c r="G3315" s="146">
        <v>9.31</v>
      </c>
      <c r="H3315" s="134">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09" t="str">
        <f>VLOOKUP(B3315,辅助信息!E:J,6,FALSE)</f>
        <v>锈货不收！！下雨天钢筋没盖篷布不收！！，装货前联系收货人核实到场规格,没提前告知进场规格现场不给予接收</v>
      </c>
      <c r="M3315" s="91">
        <v>45910</v>
      </c>
      <c r="O3315" s="62">
        <f ca="1" t="shared" si="186"/>
        <v>0</v>
      </c>
      <c r="P3315" s="62">
        <f ca="1" t="shared" si="187"/>
        <v>50</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0">
        <v>45908</v>
      </c>
      <c r="D3316" s="40" t="str">
        <f>VLOOKUP(B3316,辅助信息!E:K,7,FALSE)</f>
        <v>JWDDCD2025062200016</v>
      </c>
      <c r="E3316" s="40" t="str">
        <f>VLOOKUP(F3316,辅助信息!A:B,2,FALSE)</f>
        <v>螺纹钢</v>
      </c>
      <c r="F3316" s="40" t="s">
        <v>65</v>
      </c>
      <c r="G3316" s="146">
        <v>3</v>
      </c>
      <c r="H3316" s="134">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09" t="str">
        <f>VLOOKUP(B3316,辅助信息!E:J,6,FALSE)</f>
        <v>锈货不收！！下雨天钢筋没盖篷布不收！！，装货前联系收货人核实到场规格,没提前告知进场规格现场不给予接收</v>
      </c>
      <c r="M3316" s="91">
        <v>45910</v>
      </c>
      <c r="O3316" s="62">
        <f ca="1" t="shared" si="186"/>
        <v>0</v>
      </c>
      <c r="P3316" s="62">
        <f ca="1" t="shared" si="187"/>
        <v>50</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1" t="s">
        <v>216</v>
      </c>
      <c r="B3317" s="40" t="s">
        <v>167</v>
      </c>
      <c r="C3317" s="70">
        <v>45905</v>
      </c>
      <c r="D3317" s="40" t="str">
        <f>VLOOKUP(B3317,辅助信息!E:K,7,FALSE)</f>
        <v>JWDDCD2025102100473</v>
      </c>
      <c r="E3317" s="40" t="str">
        <f>VLOOKUP(F3317,辅助信息!A:B,2,FALSE)</f>
        <v>螺纹钢</v>
      </c>
      <c r="F3317" s="40" t="s">
        <v>66</v>
      </c>
      <c r="G3317" s="36">
        <v>12</v>
      </c>
      <c r="H3317" s="134">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09"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2" t="str">
        <f ca="1" t="shared" si="186"/>
        <v/>
      </c>
      <c r="P3317" s="62"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1"/>
      <c r="B3318" s="40" t="s">
        <v>167</v>
      </c>
      <c r="C3318" s="70">
        <v>45905</v>
      </c>
      <c r="D3318" s="40" t="str">
        <f>VLOOKUP(B3318,辅助信息!E:K,7,FALSE)</f>
        <v>JWDDCD2025102100473</v>
      </c>
      <c r="E3318" s="40" t="str">
        <f>VLOOKUP(F3318,辅助信息!A:B,2,FALSE)</f>
        <v>螺纹钢</v>
      </c>
      <c r="F3318" s="40" t="s">
        <v>22</v>
      </c>
      <c r="G3318" s="36">
        <v>24</v>
      </c>
      <c r="H3318" s="134">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09"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2" t="str">
        <f ca="1" t="shared" si="186"/>
        <v/>
      </c>
      <c r="P3318" s="62"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0">
        <v>45905</v>
      </c>
      <c r="D3319" s="40" t="str">
        <f>VLOOKUP(B3319,辅助信息!E:K,7,FALSE)</f>
        <v>JWDDCD2025072900123</v>
      </c>
      <c r="E3319" s="40" t="str">
        <f>VLOOKUP(F3319,辅助信息!A:B,2,FALSE)</f>
        <v>盘螺</v>
      </c>
      <c r="F3319" s="40" t="s">
        <v>40</v>
      </c>
      <c r="G3319" s="36">
        <v>10</v>
      </c>
      <c r="H3319" s="134">
        <f>IF(SUMIFS('[1]2025年已发货'!$E:$E,'[1]2025年已发货'!$F:$F,C3319,'[1]2025年已发货'!$C:$C,F3319,'[1]2025年已发货'!$G:$G,I3319,'[1]2025年已发货'!$H:$H,J3319)=0,"未发货",SUMIFS('[1]2025年已发货'!$E:$E,'[1]2025年已发货'!$F:$F,C3319,'[1]2025年已发货'!$C:$C,F3319,'[1]2025年已发货'!$G:$G,I3319,'[1]2025年已发货'!$H:$H,J3319))</f>
        <v>10</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09" t="str">
        <f>VLOOKUP(B3319,辅助信息!E:J,6,FALSE)</f>
        <v>联系实际收货人（彭江涛13990276572）现场要求炉批号控制2个以下，超2个不给予签收。提前联系到场规格及数量</v>
      </c>
      <c r="O3319" s="62" t="str">
        <f ca="1" t="shared" si="186"/>
        <v/>
      </c>
      <c r="P3319" s="62"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0">
        <v>45905</v>
      </c>
      <c r="D3320" s="40" t="str">
        <f>VLOOKUP(B3320,辅助信息!E:K,7,FALSE)</f>
        <v>JWDDCD2025072900123</v>
      </c>
      <c r="E3320" s="40" t="str">
        <f>VLOOKUP(F3320,辅助信息!A:B,2,FALSE)</f>
        <v>盘螺</v>
      </c>
      <c r="F3320" s="40" t="s">
        <v>26</v>
      </c>
      <c r="G3320" s="36">
        <v>15</v>
      </c>
      <c r="H3320" s="134">
        <f>IF(SUMIFS('[1]2025年已发货'!$E:$E,'[1]2025年已发货'!$F:$F,C3320,'[1]2025年已发货'!$C:$C,F3320,'[1]2025年已发货'!$G:$G,I3320,'[1]2025年已发货'!$H:$H,J3320)=0,"未发货",SUMIFS('[1]2025年已发货'!$E:$E,'[1]2025年已发货'!$F:$F,C3320,'[1]2025年已发货'!$C:$C,F3320,'[1]2025年已发货'!$G:$G,I3320,'[1]2025年已发货'!$H:$H,J3320))</f>
        <v>25</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09" t="str">
        <f>VLOOKUP(B3320,辅助信息!E:J,6,FALSE)</f>
        <v>联系实际收货人（彭江涛13990276572）现场要求炉批号控制2个以下，超2个不给予签收。提前联系到场规格及数量</v>
      </c>
      <c r="O3320" s="62" t="str">
        <f ca="1" t="shared" si="186"/>
        <v/>
      </c>
      <c r="P3320" s="62"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0">
        <v>45905</v>
      </c>
      <c r="D3321" s="40" t="str">
        <f>VLOOKUP(B3321,辅助信息!E:K,7,FALSE)</f>
        <v>JWDDCD2025072900123</v>
      </c>
      <c r="E3321" s="40" t="str">
        <f>VLOOKUP(F3321,辅助信息!A:B,2,FALSE)</f>
        <v>螺纹钢</v>
      </c>
      <c r="F3321" s="40" t="s">
        <v>205</v>
      </c>
      <c r="G3321" s="36">
        <v>35</v>
      </c>
      <c r="H3321" s="134">
        <f>IF(SUMIFS('[1]2025年已发货'!$E:$E,'[1]2025年已发货'!$F:$F,C3321,'[1]2025年已发货'!$C:$C,F3321,'[1]2025年已发货'!$G:$G,I3321,'[1]2025年已发货'!$H:$H,J3321)=0,"未发货",SUMIFS('[1]2025年已发货'!$E:$E,'[1]2025年已发货'!$F:$F,C3321,'[1]2025年已发货'!$C:$C,F3321,'[1]2025年已发货'!$G:$G,I3321,'[1]2025年已发货'!$H:$H,J3321))</f>
        <v>25</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09" t="str">
        <f>VLOOKUP(B3321,辅助信息!E:J,6,FALSE)</f>
        <v>联系实际收货人（彭江涛13990276572）现场要求炉批号控制2个以下，超2个不给予签收。提前联系到场规格及数量</v>
      </c>
      <c r="O3321" s="62" t="str">
        <f ca="1" t="shared" si="186"/>
        <v/>
      </c>
      <c r="P3321" s="62"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0">
        <v>45905</v>
      </c>
      <c r="D3322" s="40" t="str">
        <f>VLOOKUP(B3322,辅助信息!E:K,7,FALSE)</f>
        <v>JWDDCD2025072900123</v>
      </c>
      <c r="E3322" s="40" t="str">
        <f>VLOOKUP(F3322,辅助信息!A:B,2,FALSE)</f>
        <v>螺纹钢</v>
      </c>
      <c r="F3322" s="40" t="s">
        <v>140</v>
      </c>
      <c r="G3322" s="36">
        <v>10</v>
      </c>
      <c r="H3322" s="134">
        <f>IF(SUMIFS('[1]2025年已发货'!$E:$E,'[1]2025年已发货'!$F:$F,C3322,'[1]2025年已发货'!$C:$C,F3322,'[1]2025年已发货'!$G:$G,I3322,'[1]2025年已发货'!$H:$H,J3322)=0,"未发货",SUMIFS('[1]2025年已发货'!$E:$E,'[1]2025年已发货'!$F:$F,C3322,'[1]2025年已发货'!$C:$C,F3322,'[1]2025年已发货'!$G:$G,I3322,'[1]2025年已发货'!$H:$H,J3322))</f>
        <v>10</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09" t="str">
        <f>VLOOKUP(B3322,辅助信息!E:J,6,FALSE)</f>
        <v>联系实际收货人（彭江涛13990276572）现场要求炉批号控制2个以下，超2个不给予签收。提前联系到场规格及数量</v>
      </c>
      <c r="O3322" s="62" t="str">
        <f ca="1" t="shared" si="186"/>
        <v/>
      </c>
      <c r="P3322" s="62"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0">
        <v>45905</v>
      </c>
      <c r="D3323" s="40" t="str">
        <f>VLOOKUP(B3323,辅助信息!E:K,7,FALSE)</f>
        <v>JWDDCD2025072900123</v>
      </c>
      <c r="E3323" s="40" t="str">
        <f>VLOOKUP(F3323,辅助信息!A:B,2,FALSE)</f>
        <v>螺纹钢</v>
      </c>
      <c r="F3323" s="40" t="s">
        <v>22</v>
      </c>
      <c r="G3323" s="36">
        <v>35</v>
      </c>
      <c r="H3323" s="134">
        <f>IF(SUMIFS('[1]2025年已发货'!$E:$E,'[1]2025年已发货'!$F:$F,C3323,'[1]2025年已发货'!$C:$C,F3323,'[1]2025年已发货'!$G:$G,I3323,'[1]2025年已发货'!$H:$H,J3323)=0,"未发货",SUMIFS('[1]2025年已发货'!$E:$E,'[1]2025年已发货'!$F:$F,C3323,'[1]2025年已发货'!$C:$C,F3323,'[1]2025年已发货'!$G:$G,I3323,'[1]2025年已发货'!$H:$H,J3323))</f>
        <v>35</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09" t="str">
        <f>VLOOKUP(B3323,辅助信息!E:J,6,FALSE)</f>
        <v>联系实际收货人（彭江涛13990276572）现场要求炉批号控制2个以下，超2个不给予签收。提前联系到场规格及数量</v>
      </c>
      <c r="O3323" s="62" t="str">
        <f ca="1" t="shared" si="186"/>
        <v/>
      </c>
      <c r="P3323" s="62"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0">
        <v>45905</v>
      </c>
      <c r="D3324" s="40" t="str">
        <f>VLOOKUP(B3324,辅助信息!E:K,7,FALSE)</f>
        <v>JWDDCD2025072900123</v>
      </c>
      <c r="E3324" s="40" t="str">
        <f>VLOOKUP(F3324,辅助信息!A:B,2,FALSE)</f>
        <v>螺纹钢</v>
      </c>
      <c r="F3324" s="40" t="s">
        <v>142</v>
      </c>
      <c r="G3324" s="36">
        <v>35</v>
      </c>
      <c r="H3324" s="134">
        <f>IF(SUMIFS('[1]2025年已发货'!$E:$E,'[1]2025年已发货'!$F:$F,C3324,'[1]2025年已发货'!$C:$C,F3324,'[1]2025年已发货'!$G:$G,I3324,'[1]2025年已发货'!$H:$H,J3324)=0,"未发货",SUMIFS('[1]2025年已发货'!$E:$E,'[1]2025年已发货'!$F:$F,C3324,'[1]2025年已发货'!$C:$C,F3324,'[1]2025年已发货'!$G:$G,I3324,'[1]2025年已发货'!$H:$H,J3324))</f>
        <v>35</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09" t="str">
        <f>VLOOKUP(B3324,辅助信息!E:J,6,FALSE)</f>
        <v>联系实际收货人（彭江涛13990276572）现场要求炉批号控制2个以下，超2个不给予签收。提前联系到场规格及数量</v>
      </c>
      <c r="O3324" s="62" t="str">
        <f ca="1" t="shared" si="186"/>
        <v/>
      </c>
      <c r="P3324" s="62"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0">
        <v>45905</v>
      </c>
      <c r="D3325" s="40" t="str">
        <f>VLOOKUP(B3325,辅助信息!E:K,7,FALSE)</f>
        <v>JWDDCD2025102100473</v>
      </c>
      <c r="E3325" s="40" t="str">
        <f>VLOOKUP(F3325,辅助信息!A:B,2,FALSE)</f>
        <v>盘螺</v>
      </c>
      <c r="F3325" s="40" t="s">
        <v>41</v>
      </c>
      <c r="G3325" s="36">
        <v>10</v>
      </c>
      <c r="H3325" s="134">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09"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1">
        <v>45908</v>
      </c>
      <c r="O3325" s="62">
        <f ca="1" t="shared" si="186"/>
        <v>0</v>
      </c>
      <c r="P3325" s="62">
        <f ca="1" t="shared" si="187"/>
        <v>52</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0">
        <v>45905</v>
      </c>
      <c r="D3326" s="40" t="str">
        <f>VLOOKUP(B3326,辅助信息!E:K,7,FALSE)</f>
        <v>JWDDCD2025102100473</v>
      </c>
      <c r="E3326" s="40" t="str">
        <f>VLOOKUP(F3326,辅助信息!A:B,2,FALSE)</f>
        <v>螺纹钢</v>
      </c>
      <c r="F3326" s="40" t="s">
        <v>27</v>
      </c>
      <c r="G3326" s="36">
        <v>21</v>
      </c>
      <c r="H3326" s="134">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09"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1">
        <v>45908</v>
      </c>
      <c r="O3326" s="62">
        <f ca="1" t="shared" si="186"/>
        <v>0</v>
      </c>
      <c r="P3326" s="62">
        <f ca="1" t="shared" si="187"/>
        <v>52</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0">
        <v>45905</v>
      </c>
      <c r="D3327" s="40" t="str">
        <f>VLOOKUP(B3327,辅助信息!E:K,7,FALSE)</f>
        <v>JWDDCD2025102100473</v>
      </c>
      <c r="E3327" s="40" t="str">
        <f>VLOOKUP(F3327,辅助信息!A:B,2,FALSE)</f>
        <v>螺纹钢</v>
      </c>
      <c r="F3327" s="40" t="s">
        <v>22</v>
      </c>
      <c r="G3327" s="36">
        <v>21</v>
      </c>
      <c r="H3327" s="134"/>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09"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1">
        <v>45908</v>
      </c>
      <c r="O3327" s="62">
        <f ca="1" t="shared" si="186"/>
        <v>0</v>
      </c>
      <c r="P3327" s="62">
        <f ca="1" t="shared" si="187"/>
        <v>52</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0">
        <v>45905</v>
      </c>
      <c r="D3328" s="40" t="str">
        <f>VLOOKUP(B3328,辅助信息!E:K,7,FALSE)</f>
        <v>JWDDCD2025102100473</v>
      </c>
      <c r="E3328" s="40" t="str">
        <f>VLOOKUP(F3328,辅助信息!A:B,2,FALSE)</f>
        <v>螺纹钢</v>
      </c>
      <c r="F3328" s="40" t="s">
        <v>181</v>
      </c>
      <c r="G3328" s="36">
        <v>9</v>
      </c>
      <c r="H3328" s="134">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09"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1">
        <v>45908</v>
      </c>
      <c r="O3328" s="62">
        <f ca="1" t="shared" si="186"/>
        <v>0</v>
      </c>
      <c r="P3328" s="62">
        <f ca="1" t="shared" si="187"/>
        <v>52</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0">
        <v>45905</v>
      </c>
      <c r="D3329" s="40" t="str">
        <f>VLOOKUP(B3329,辅助信息!E:K,7,FALSE)</f>
        <v>JWDDCD2025102100473</v>
      </c>
      <c r="E3329" s="40" t="str">
        <f>VLOOKUP(F3329,辅助信息!A:B,2,FALSE)</f>
        <v>螺纹钢</v>
      </c>
      <c r="F3329" s="40" t="s">
        <v>182</v>
      </c>
      <c r="G3329" s="36">
        <v>9</v>
      </c>
      <c r="H3329" s="134">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09"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1">
        <v>45908</v>
      </c>
      <c r="O3329" s="62">
        <f ca="1" t="shared" si="186"/>
        <v>0</v>
      </c>
      <c r="P3329" s="62">
        <f ca="1" t="shared" si="187"/>
        <v>52</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0">
        <v>45909</v>
      </c>
      <c r="D3330" s="40" t="str">
        <f>VLOOKUP(B3330,辅助信息!E:K,7,FALSE)</f>
        <v>JWDDCD2025052800131</v>
      </c>
      <c r="E3330" s="40" t="str">
        <f>VLOOKUP(F3330,辅助信息!A:B,2,FALSE)</f>
        <v>盘螺</v>
      </c>
      <c r="F3330" s="40" t="s">
        <v>49</v>
      </c>
      <c r="G3330" s="36">
        <v>12</v>
      </c>
      <c r="H3330" s="134">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09" t="str">
        <f>VLOOKUP(B3330,辅助信息!E:J,6,FALSE)</f>
        <v>控制炉批号！多了现场不收！,优先安排达钢,提前联系到场规格及数量</v>
      </c>
      <c r="M3330" s="91">
        <v>45910</v>
      </c>
      <c r="O3330" s="62">
        <f ca="1" t="shared" si="186"/>
        <v>0</v>
      </c>
      <c r="P3330" s="62">
        <f ca="1" t="shared" si="187"/>
        <v>50</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0">
        <v>45909</v>
      </c>
      <c r="D3331" s="40" t="str">
        <f>VLOOKUP(B3331,辅助信息!E:K,7,FALSE)</f>
        <v>JWDDCD2025052800131</v>
      </c>
      <c r="E3331" s="40" t="str">
        <f>VLOOKUP(F3331,辅助信息!A:B,2,FALSE)</f>
        <v>盘螺</v>
      </c>
      <c r="F3331" s="40" t="s">
        <v>40</v>
      </c>
      <c r="G3331" s="36">
        <v>13</v>
      </c>
      <c r="H3331" s="134">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09" t="str">
        <f>VLOOKUP(B3331,辅助信息!E:J,6,FALSE)</f>
        <v>控制炉批号！多了现场不收！,优先安排达钢,提前联系到场规格及数量</v>
      </c>
      <c r="M3331" s="91"/>
      <c r="O3331" s="62" t="str">
        <f ca="1" t="shared" si="186"/>
        <v/>
      </c>
      <c r="P3331" s="62"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0">
        <v>45909</v>
      </c>
      <c r="D3332" s="40" t="str">
        <f>VLOOKUP(B3332,辅助信息!E:K,7,FALSE)</f>
        <v>JWDDCD2025052800131</v>
      </c>
      <c r="E3332" s="40" t="str">
        <f>VLOOKUP(F3332,辅助信息!A:B,2,FALSE)</f>
        <v>盘螺</v>
      </c>
      <c r="F3332" s="40" t="s">
        <v>41</v>
      </c>
      <c r="G3332" s="36">
        <v>18</v>
      </c>
      <c r="H3332" s="134">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09" t="str">
        <f>VLOOKUP(B3332,辅助信息!E:J,6,FALSE)</f>
        <v>控制炉批号！多了现场不收！,优先安排达钢,提前联系到场规格及数量</v>
      </c>
      <c r="M3332" s="91">
        <v>45910</v>
      </c>
      <c r="O3332" s="62">
        <f ca="1" t="shared" si="186"/>
        <v>0</v>
      </c>
      <c r="P3332" s="62">
        <f ca="1" t="shared" si="187"/>
        <v>50</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0">
        <v>45909</v>
      </c>
      <c r="D3333" s="40" t="str">
        <f>VLOOKUP(B3333,辅助信息!E:K,7,FALSE)</f>
        <v>JWDDCD2025052800131</v>
      </c>
      <c r="E3333" s="40" t="str">
        <f>VLOOKUP(F3333,辅助信息!A:B,2,FALSE)</f>
        <v>螺纹钢</v>
      </c>
      <c r="F3333" s="40" t="s">
        <v>32</v>
      </c>
      <c r="G3333" s="36">
        <v>3</v>
      </c>
      <c r="H3333" s="134">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09" t="str">
        <f>VLOOKUP(B3333,辅助信息!E:J,6,FALSE)</f>
        <v>控制炉批号！多了现场不收！,优先安排达钢,提前联系到场规格及数量</v>
      </c>
      <c r="M3333" s="91">
        <v>45910</v>
      </c>
      <c r="O3333" s="62">
        <f ca="1" t="shared" si="186"/>
        <v>0</v>
      </c>
      <c r="P3333" s="62">
        <f ca="1" t="shared" si="187"/>
        <v>50</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0">
        <v>45909</v>
      </c>
      <c r="D3334" s="40" t="str">
        <f>VLOOKUP(B3334,辅助信息!E:K,7,FALSE)</f>
        <v>JWDDCD2025052800131</v>
      </c>
      <c r="E3334" s="40" t="str">
        <f>VLOOKUP(F3334,辅助信息!A:B,2,FALSE)</f>
        <v>螺纹钢</v>
      </c>
      <c r="F3334" s="40" t="s">
        <v>33</v>
      </c>
      <c r="G3334" s="36">
        <v>6</v>
      </c>
      <c r="H3334" s="134">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09" t="str">
        <f>VLOOKUP(B3334,辅助信息!E:J,6,FALSE)</f>
        <v>控制炉批号！多了现场不收！,优先安排达钢,提前联系到场规格及数量</v>
      </c>
      <c r="M3334" s="91">
        <v>45910</v>
      </c>
      <c r="O3334" s="62">
        <f ca="1" t="shared" si="186"/>
        <v>0</v>
      </c>
      <c r="P3334" s="62">
        <f ca="1" t="shared" si="187"/>
        <v>50</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0">
        <v>45909</v>
      </c>
      <c r="D3335" s="40" t="str">
        <f>VLOOKUP(B3335,辅助信息!E:K,7,FALSE)</f>
        <v>JWDDCD2025052800131</v>
      </c>
      <c r="E3335" s="40" t="str">
        <f>VLOOKUP(F3335,辅助信息!A:B,2,FALSE)</f>
        <v>螺纹钢</v>
      </c>
      <c r="F3335" s="40" t="s">
        <v>18</v>
      </c>
      <c r="G3335" s="36">
        <v>18</v>
      </c>
      <c r="H3335" s="134">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09" t="str">
        <f>VLOOKUP(B3335,辅助信息!E:J,6,FALSE)</f>
        <v>控制炉批号！多了现场不收！,优先安排达钢,提前联系到场规格及数量</v>
      </c>
      <c r="M3335" s="91">
        <v>45910</v>
      </c>
      <c r="O3335" s="62">
        <f ca="1" t="shared" si="186"/>
        <v>0</v>
      </c>
      <c r="P3335" s="62">
        <f ca="1" t="shared" si="187"/>
        <v>50</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0">
        <v>45909</v>
      </c>
      <c r="D3336" s="40" t="str">
        <f>VLOOKUP(B3336,辅助信息!E:K,7,FALSE)</f>
        <v>JWDDCD2025052800131</v>
      </c>
      <c r="E3336" s="40" t="str">
        <f>VLOOKUP(F3336,辅助信息!A:B,2,FALSE)</f>
        <v>盘螺</v>
      </c>
      <c r="F3336" s="40" t="s">
        <v>49</v>
      </c>
      <c r="G3336" s="36">
        <v>15</v>
      </c>
      <c r="H3336" s="134">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09" t="str">
        <f>VLOOKUP(B3336,辅助信息!E:J,6,FALSE)</f>
        <v>控制炉批号！多了现场不收！,优先安排达钢,提前联系到场规格及数量</v>
      </c>
      <c r="M3336" s="91">
        <v>45910</v>
      </c>
      <c r="O3336" s="62">
        <f ca="1" t="shared" si="186"/>
        <v>0</v>
      </c>
      <c r="P3336" s="62">
        <f ca="1" t="shared" si="187"/>
        <v>50</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0">
        <v>45909</v>
      </c>
      <c r="D3337" s="40" t="str">
        <f>VLOOKUP(B3337,辅助信息!E:K,7,FALSE)</f>
        <v>JWDDCD2025052800131</v>
      </c>
      <c r="E3337" s="40" t="str">
        <f>VLOOKUP(F3337,辅助信息!A:B,2,FALSE)</f>
        <v>盘螺</v>
      </c>
      <c r="F3337" s="40" t="s">
        <v>40</v>
      </c>
      <c r="G3337" s="36">
        <v>5</v>
      </c>
      <c r="H3337" s="134">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09" t="str">
        <f>VLOOKUP(B3337,辅助信息!E:J,6,FALSE)</f>
        <v>控制炉批号！多了现场不收！,优先安排达钢,提前联系到场规格及数量</v>
      </c>
      <c r="M3337" s="91">
        <v>45910</v>
      </c>
      <c r="O3337" s="62">
        <f ca="1" t="shared" si="186"/>
        <v>0</v>
      </c>
      <c r="P3337" s="62">
        <f ca="1" t="shared" si="187"/>
        <v>50</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0">
        <v>45909</v>
      </c>
      <c r="D3338" s="40" t="str">
        <f>VLOOKUP(B3338,辅助信息!E:K,7,FALSE)</f>
        <v>JWDDCD2025052800131</v>
      </c>
      <c r="E3338" s="40" t="str">
        <f>VLOOKUP(F3338,辅助信息!A:B,2,FALSE)</f>
        <v>螺纹钢</v>
      </c>
      <c r="F3338" s="40" t="s">
        <v>28</v>
      </c>
      <c r="G3338" s="36">
        <v>15</v>
      </c>
      <c r="H3338" s="134">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09" t="str">
        <f>VLOOKUP(B3338,辅助信息!E:J,6,FALSE)</f>
        <v>控制炉批号！多了现场不收！,优先安排达钢,提前联系到场规格及数量</v>
      </c>
      <c r="M3338" s="91">
        <v>45910</v>
      </c>
      <c r="O3338" s="62">
        <f ca="1" t="shared" si="186"/>
        <v>0</v>
      </c>
      <c r="P3338" s="62">
        <f ca="1" t="shared" si="187"/>
        <v>50</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0">
        <v>45909</v>
      </c>
      <c r="D3339" s="40" t="str">
        <f>VLOOKUP(B3339,辅助信息!E:K,7,FALSE)</f>
        <v>JWDD2025071500089</v>
      </c>
      <c r="E3339" s="40" t="str">
        <f>VLOOKUP(F3339,辅助信息!A:B,2,FALSE)</f>
        <v>盘螺</v>
      </c>
      <c r="F3339" s="40" t="s">
        <v>49</v>
      </c>
      <c r="G3339" s="36">
        <v>8</v>
      </c>
      <c r="H3339" s="134">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09" t="str">
        <f>VLOOKUP(B3339,辅助信息!E:J,6,FALSE)</f>
        <v>现场要求调度统一联系指定收货人，不单独发司机位置。锈货不收，装货前联系收货人核实到场规格,没提前告知进场规格现场不给予接收</v>
      </c>
      <c r="O3339" s="62" t="str">
        <f ca="1" t="shared" si="186"/>
        <v/>
      </c>
      <c r="P3339" s="62"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0">
        <v>45909</v>
      </c>
      <c r="D3340" s="40" t="str">
        <f>VLOOKUP(B3340,辅助信息!E:K,7,FALSE)</f>
        <v>JWDD2025071500089</v>
      </c>
      <c r="E3340" s="40" t="str">
        <f>VLOOKUP(F3340,辅助信息!A:B,2,FALSE)</f>
        <v>盘螺</v>
      </c>
      <c r="F3340" s="40" t="s">
        <v>40</v>
      </c>
      <c r="G3340" s="36">
        <v>20</v>
      </c>
      <c r="H3340" s="134">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09" t="str">
        <f>VLOOKUP(B3340,辅助信息!E:J,6,FALSE)</f>
        <v>现场要求调度统一联系指定收货人，不单独发司机位置。锈货不收，装货前联系收货人核实到场规格,没提前告知进场规格现场不给予接收</v>
      </c>
      <c r="O3340" s="62" t="str">
        <f ca="1" t="shared" si="186"/>
        <v/>
      </c>
      <c r="P3340" s="62"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0">
        <v>45909</v>
      </c>
      <c r="D3341" s="40" t="str">
        <f>VLOOKUP(B3341,辅助信息!E:K,7,FALSE)</f>
        <v>JWDD2025071500089</v>
      </c>
      <c r="E3341" s="40" t="str">
        <f>VLOOKUP(F3341,辅助信息!A:B,2,FALSE)</f>
        <v>盘螺</v>
      </c>
      <c r="F3341" s="40" t="s">
        <v>41</v>
      </c>
      <c r="G3341" s="36">
        <v>6</v>
      </c>
      <c r="H3341" s="134">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09" t="str">
        <f>VLOOKUP(B3341,辅助信息!E:J,6,FALSE)</f>
        <v>现场要求调度统一联系指定收货人，不单独发司机位置。锈货不收，装货前联系收货人核实到场规格,没提前告知进场规格现场不给予接收</v>
      </c>
      <c r="O3341" s="62" t="str">
        <f ca="1" t="shared" si="186"/>
        <v/>
      </c>
      <c r="P3341" s="62"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0">
        <v>45909</v>
      </c>
      <c r="D3342" s="40" t="str">
        <f>VLOOKUP(B3342,辅助信息!E:K,7,FALSE)</f>
        <v>JWDD2025071500089</v>
      </c>
      <c r="E3342" s="40" t="str">
        <f>VLOOKUP(F3342,辅助信息!A:B,2,FALSE)</f>
        <v>螺纹钢</v>
      </c>
      <c r="F3342" s="40" t="s">
        <v>30</v>
      </c>
      <c r="G3342" s="36">
        <v>20</v>
      </c>
      <c r="H3342" s="134">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09" t="str">
        <f>VLOOKUP(B3342,辅助信息!E:J,6,FALSE)</f>
        <v>现场要求调度统一联系指定收货人，不单独发司机位置。锈货不收，装货前联系收货人核实到场规格,没提前告知进场规格现场不给予接收</v>
      </c>
      <c r="O3342" s="62" t="str">
        <f ca="1" t="shared" si="186"/>
        <v/>
      </c>
      <c r="P3342" s="62"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0">
        <v>45909</v>
      </c>
      <c r="D3343" s="40" t="str">
        <f>VLOOKUP(B3343,辅助信息!E:K,7,FALSE)</f>
        <v>JWDD2025071500089</v>
      </c>
      <c r="E3343" s="40" t="str">
        <f>VLOOKUP(F3343,辅助信息!A:B,2,FALSE)</f>
        <v>螺纹钢</v>
      </c>
      <c r="F3343" s="40" t="s">
        <v>28</v>
      </c>
      <c r="G3343" s="36">
        <v>6</v>
      </c>
      <c r="H3343" s="134">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09" t="str">
        <f>VLOOKUP(B3343,辅助信息!E:J,6,FALSE)</f>
        <v>现场要求调度统一联系指定收货人，不单独发司机位置。锈货不收，装货前联系收货人核实到场规格,没提前告知进场规格现场不给予接收</v>
      </c>
      <c r="O3343" s="62" t="str">
        <f ca="1" t="shared" si="186"/>
        <v/>
      </c>
      <c r="P3343" s="62"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0">
        <v>45909</v>
      </c>
      <c r="D3344" s="40" t="str">
        <f>VLOOKUP(B3344,辅助信息!E:K,7,FALSE)</f>
        <v>JWDD2025071500089</v>
      </c>
      <c r="E3344" s="40" t="str">
        <f>VLOOKUP(F3344,辅助信息!A:B,2,FALSE)</f>
        <v>螺纹钢</v>
      </c>
      <c r="F3344" s="40" t="s">
        <v>18</v>
      </c>
      <c r="G3344" s="36">
        <v>10</v>
      </c>
      <c r="H3344" s="134">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09" t="str">
        <f>VLOOKUP(B3344,辅助信息!E:J,6,FALSE)</f>
        <v>现场要求调度统一联系指定收货人，不单独发司机位置。锈货不收，装货前联系收货人核实到场规格,没提前告知进场规格现场不给予接收</v>
      </c>
      <c r="O3344" s="62" t="str">
        <f ca="1" t="shared" si="186"/>
        <v/>
      </c>
      <c r="P3344" s="62"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0">
        <v>45909</v>
      </c>
      <c r="B3345" s="40" t="s">
        <v>169</v>
      </c>
      <c r="C3345" s="70">
        <v>45909</v>
      </c>
      <c r="D3345" s="40" t="str">
        <f>VLOOKUP(B3345,辅助信息!E:K,7,FALSE)</f>
        <v>JWDDCD2025051800044</v>
      </c>
      <c r="E3345" s="40" t="str">
        <f>VLOOKUP(F3345,辅助信息!A:B,2,FALSE)</f>
        <v>螺纹钢</v>
      </c>
      <c r="F3345" s="40" t="s">
        <v>32</v>
      </c>
      <c r="G3345" s="36">
        <v>6</v>
      </c>
      <c r="H3345" s="134">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09"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2" t="str">
        <f ca="1" t="shared" si="186"/>
        <v/>
      </c>
      <c r="P3345" s="62"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0">
        <v>45909</v>
      </c>
      <c r="B3346" s="40" t="s">
        <v>169</v>
      </c>
      <c r="C3346" s="70">
        <v>45909</v>
      </c>
      <c r="D3346" s="40" t="str">
        <f>VLOOKUP(B3346,辅助信息!E:K,7,FALSE)</f>
        <v>JWDDCD2025051800044</v>
      </c>
      <c r="E3346" s="40" t="str">
        <f>VLOOKUP(F3346,辅助信息!A:B,2,FALSE)</f>
        <v>螺纹钢</v>
      </c>
      <c r="F3346" s="40" t="s">
        <v>28</v>
      </c>
      <c r="G3346" s="36">
        <v>27</v>
      </c>
      <c r="H3346" s="134">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09"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2" t="str">
        <f ca="1" t="shared" si="186"/>
        <v/>
      </c>
      <c r="P3346" s="62"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0"/>
      <c r="B3347" s="40" t="s">
        <v>92</v>
      </c>
      <c r="C3347" s="70">
        <v>45910</v>
      </c>
      <c r="D3347" s="40" t="str">
        <f>VLOOKUP(B3347,辅助信息!E:K,7,FALSE)</f>
        <v>JWDDCD2025051800046</v>
      </c>
      <c r="E3347" s="40" t="str">
        <f>VLOOKUP(F3347,辅助信息!A:B,2,FALSE)</f>
        <v>高线</v>
      </c>
      <c r="F3347" s="40" t="s">
        <v>57</v>
      </c>
      <c r="G3347" s="36">
        <v>2.5</v>
      </c>
      <c r="H3347" s="134">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09" t="str">
        <f>VLOOKUP(B3347,辅助信息!E:J,6,FALSE)</f>
        <v>优先威钢,我方卸车,新老国标钢厂不加价可直发</v>
      </c>
      <c r="O3347" s="62" t="str">
        <f ca="1" t="shared" si="186"/>
        <v/>
      </c>
      <c r="P3347" s="62"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0">
        <v>45910</v>
      </c>
      <c r="D3348" s="40" t="str">
        <f>VLOOKUP(B3348,辅助信息!E:K,7,FALSE)</f>
        <v>JWDDCD2025051800046</v>
      </c>
      <c r="E3348" s="40" t="str">
        <f>VLOOKUP(F3348,辅助信息!A:B,2,FALSE)</f>
        <v>盘螺</v>
      </c>
      <c r="F3348" s="40" t="s">
        <v>40</v>
      </c>
      <c r="G3348" s="36">
        <v>18</v>
      </c>
      <c r="H3348" s="134">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09" t="str">
        <f>VLOOKUP(B3348,辅助信息!E:J,6,FALSE)</f>
        <v>优先威钢,我方卸车,新老国标钢厂不加价可直发</v>
      </c>
      <c r="M3348" s="91">
        <v>45912</v>
      </c>
      <c r="O3348" s="62">
        <f ca="1" t="shared" si="186"/>
        <v>0</v>
      </c>
      <c r="P3348" s="62">
        <f ca="1" t="shared" si="187"/>
        <v>48</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0">
        <v>45910</v>
      </c>
      <c r="D3349" s="40" t="str">
        <f>VLOOKUP(B3349,辅助信息!E:K,7,FALSE)</f>
        <v>JWDDCD2025051800046</v>
      </c>
      <c r="E3349" s="40" t="str">
        <f>VLOOKUP(F3349,辅助信息!A:B,2,FALSE)</f>
        <v>盘螺</v>
      </c>
      <c r="F3349" s="40" t="s">
        <v>41</v>
      </c>
      <c r="G3349" s="36">
        <v>6</v>
      </c>
      <c r="H3349" s="134">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09" t="str">
        <f>VLOOKUP(B3349,辅助信息!E:J,6,FALSE)</f>
        <v>优先威钢,我方卸车,新老国标钢厂不加价可直发</v>
      </c>
      <c r="M3349" s="91">
        <v>45912</v>
      </c>
      <c r="O3349" s="62">
        <f ca="1" t="shared" si="186"/>
        <v>0</v>
      </c>
      <c r="P3349" s="62">
        <f ca="1" t="shared" si="187"/>
        <v>48</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0">
        <v>45910</v>
      </c>
      <c r="D3350" s="40" t="str">
        <f>VLOOKUP(B3350,辅助信息!E:K,7,FALSE)</f>
        <v>JWDDCD2025051800046</v>
      </c>
      <c r="E3350" s="40" t="str">
        <f>VLOOKUP(F3350,辅助信息!A:B,2,FALSE)</f>
        <v>螺纹钢</v>
      </c>
      <c r="F3350" s="40" t="s">
        <v>65</v>
      </c>
      <c r="G3350" s="36">
        <v>5</v>
      </c>
      <c r="H3350" s="134">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09" t="str">
        <f>VLOOKUP(B3350,辅助信息!E:J,6,FALSE)</f>
        <v>优先威钢,我方卸车,新老国标钢厂不加价可直发</v>
      </c>
      <c r="M3350" s="91">
        <v>45912</v>
      </c>
      <c r="O3350" s="62">
        <f ca="1" t="shared" si="186"/>
        <v>0</v>
      </c>
      <c r="P3350" s="62">
        <f ca="1" t="shared" si="187"/>
        <v>48</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0">
        <v>45910</v>
      </c>
      <c r="D3351" s="40" t="str">
        <f>VLOOKUP(B3351,辅助信息!E:K,7,FALSE)</f>
        <v>JWDDCD2025051800046</v>
      </c>
      <c r="E3351" s="40" t="str">
        <f>VLOOKUP(F3351,辅助信息!A:B,2,FALSE)</f>
        <v>螺纹钢</v>
      </c>
      <c r="F3351" s="40" t="s">
        <v>21</v>
      </c>
      <c r="G3351" s="36">
        <v>3</v>
      </c>
      <c r="H3351" s="134">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09" t="str">
        <f>VLOOKUP(B3351,辅助信息!E:J,6,FALSE)</f>
        <v>优先威钢,我方卸车,新老国标钢厂不加价可直发</v>
      </c>
      <c r="M3351" s="91">
        <v>45912</v>
      </c>
      <c r="O3351" s="62">
        <f ca="1" t="shared" si="186"/>
        <v>0</v>
      </c>
      <c r="P3351" s="62">
        <f ca="1" t="shared" si="187"/>
        <v>48</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0">
        <v>45910</v>
      </c>
      <c r="D3352" s="40" t="str">
        <f>VLOOKUP(B3352,辅助信息!E:K,7,FALSE)</f>
        <v>JWDDCD2025051800046</v>
      </c>
      <c r="E3352" s="40" t="str">
        <f>VLOOKUP(F3352,辅助信息!A:B,2,FALSE)</f>
        <v>螺纹钢</v>
      </c>
      <c r="F3352" s="40" t="s">
        <v>58</v>
      </c>
      <c r="G3352" s="36">
        <v>6</v>
      </c>
      <c r="H3352" s="134">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09" t="str">
        <f>VLOOKUP(B3352,辅助信息!E:J,6,FALSE)</f>
        <v>优先威钢,我方卸车,新老国标钢厂不加价可直发</v>
      </c>
      <c r="M3352" s="91">
        <v>45912</v>
      </c>
      <c r="O3352" s="62">
        <f ca="1" t="shared" si="186"/>
        <v>0</v>
      </c>
      <c r="P3352" s="62">
        <f ca="1" t="shared" si="187"/>
        <v>48</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0">
        <v>45910</v>
      </c>
      <c r="D3353" s="40" t="str">
        <f>VLOOKUP(B3353,辅助信息!E:K,7,FALSE)</f>
        <v>JWDDCD2025051800046</v>
      </c>
      <c r="E3353" s="40" t="str">
        <f>VLOOKUP(F3353,辅助信息!A:B,2,FALSE)</f>
        <v>螺纹钢</v>
      </c>
      <c r="F3353" s="40" t="s">
        <v>22</v>
      </c>
      <c r="G3353" s="36">
        <v>28</v>
      </c>
      <c r="H3353" s="134">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09" t="str">
        <f>VLOOKUP(B3353,辅助信息!E:J,6,FALSE)</f>
        <v>优先威钢,我方卸车,新老国标钢厂不加价可直发</v>
      </c>
      <c r="M3353" s="91">
        <v>45912</v>
      </c>
      <c r="O3353" s="62">
        <f ca="1" t="shared" si="186"/>
        <v>0</v>
      </c>
      <c r="P3353" s="62">
        <f ca="1" t="shared" si="187"/>
        <v>48</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0">
        <v>45909</v>
      </c>
      <c r="D3354" s="40" t="str">
        <f>VLOOKUP(B3354,辅助信息!E:K,7,FALSE)</f>
        <v>JWDDCD2025072900123</v>
      </c>
      <c r="E3354" s="40" t="str">
        <f>VLOOKUP(F3354,辅助信息!A:B,2,FALSE)</f>
        <v>螺纹钢</v>
      </c>
      <c r="F3354" s="40" t="s">
        <v>76</v>
      </c>
      <c r="G3354" s="36">
        <v>10</v>
      </c>
      <c r="H3354" s="134">
        <f>IF(SUMIFS('[1]2025年已发货'!$E:$E,'[1]2025年已发货'!$F:$F,C3354,'[1]2025年已发货'!$C:$C,F3354,'[1]2025年已发货'!$G:$G,I3354,'[1]2025年已发货'!$H:$H,J3354)=0,"未发货",SUMIFS('[1]2025年已发货'!$E:$E,'[1]2025年已发货'!$F:$F,C3354,'[1]2025年已发货'!$C:$C,F3354,'[1]2025年已发货'!$G:$G,I3354,'[1]2025年已发货'!$H:$H,J3354))</f>
        <v>10</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09" t="str">
        <f>VLOOKUP(B3354,辅助信息!E:J,6,FALSE)</f>
        <v>联系实际收货人（彭江涛13990276572）现场要求炉批号控制2个以下，超2个不给予签收。提前联系到场规格及数量</v>
      </c>
      <c r="O3354" s="62" t="str">
        <f ca="1" t="shared" si="186"/>
        <v/>
      </c>
      <c r="P3354" s="62"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0">
        <v>45909</v>
      </c>
      <c r="D3355" s="40" t="str">
        <f>VLOOKUP(B3355,辅助信息!E:K,7,FALSE)</f>
        <v>JWDDCD2025072900123</v>
      </c>
      <c r="E3355" s="40" t="str">
        <f>VLOOKUP(F3355,辅助信息!A:B,2,FALSE)</f>
        <v>螺纹钢</v>
      </c>
      <c r="F3355" s="40" t="s">
        <v>90</v>
      </c>
      <c r="G3355" s="36">
        <v>25</v>
      </c>
      <c r="H3355" s="134">
        <f>IF(SUMIFS('[1]2025年已发货'!$E:$E,'[1]2025年已发货'!$F:$F,C3355,'[1]2025年已发货'!$C:$C,F3355,'[1]2025年已发货'!$G:$G,I3355,'[1]2025年已发货'!$H:$H,J3355)=0,"未发货",SUMIFS('[1]2025年已发货'!$E:$E,'[1]2025年已发货'!$F:$F,C3355,'[1]2025年已发货'!$C:$C,F3355,'[1]2025年已发货'!$G:$G,I3355,'[1]2025年已发货'!$H:$H,J3355))</f>
        <v>25</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09" t="str">
        <f>VLOOKUP(B3355,辅助信息!E:J,6,FALSE)</f>
        <v>联系实际收货人（彭江涛13990276572）现场要求炉批号控制2个以下，超2个不给予签收。提前联系到场规格及数量</v>
      </c>
      <c r="O3355" s="62" t="str">
        <f ca="1" t="shared" si="186"/>
        <v/>
      </c>
      <c r="P3355" s="62"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0">
        <v>45909</v>
      </c>
      <c r="D3356" s="40" t="str">
        <f>VLOOKUP(B3356,辅助信息!E:K,7,FALSE)</f>
        <v>JWDDCD2025072900123</v>
      </c>
      <c r="E3356" s="40" t="str">
        <f>VLOOKUP(F3356,辅助信息!A:B,2,FALSE)</f>
        <v>螺纹钢</v>
      </c>
      <c r="F3356" s="40" t="s">
        <v>130</v>
      </c>
      <c r="G3356" s="36">
        <v>15</v>
      </c>
      <c r="H3356" s="134">
        <f>IF(SUMIFS('[1]2025年已发货'!$E:$E,'[1]2025年已发货'!$F:$F,C3356,'[1]2025年已发货'!$C:$C,F3356,'[1]2025年已发货'!$G:$G,I3356,'[1]2025年已发货'!$H:$H,J3356)=0,"未发货",SUMIFS('[1]2025年已发货'!$E:$E,'[1]2025年已发货'!$F:$F,C3356,'[1]2025年已发货'!$C:$C,F3356,'[1]2025年已发货'!$G:$G,I3356,'[1]2025年已发货'!$H:$H,J3356))</f>
        <v>15</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09" t="str">
        <f>VLOOKUP(B3356,辅助信息!E:J,6,FALSE)</f>
        <v>联系实际收货人（彭江涛13990276572）现场要求炉批号控制2个以下，超2个不给予签收。提前联系到场规格及数量</v>
      </c>
      <c r="O3356" s="62" t="str">
        <f ca="1" t="shared" si="186"/>
        <v/>
      </c>
      <c r="P3356" s="62"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0">
        <v>45909</v>
      </c>
      <c r="D3357" s="40" t="str">
        <f>VLOOKUP(B3357,辅助信息!E:K,7,FALSE)</f>
        <v>JWDDCD2025072900123</v>
      </c>
      <c r="E3357" s="40" t="str">
        <f>VLOOKUP(F3357,辅助信息!A:B,2,FALSE)</f>
        <v>螺纹钢</v>
      </c>
      <c r="F3357" s="40" t="s">
        <v>138</v>
      </c>
      <c r="G3357" s="36">
        <v>10</v>
      </c>
      <c r="H3357" s="134">
        <f>IF(SUMIFS('[1]2025年已发货'!$E:$E,'[1]2025年已发货'!$F:$F,C3357,'[1]2025年已发货'!$C:$C,F3357,'[1]2025年已发货'!$G:$G,I3357,'[1]2025年已发货'!$H:$H,J3357)=0,"未发货",SUMIFS('[1]2025年已发货'!$E:$E,'[1]2025年已发货'!$F:$F,C3357,'[1]2025年已发货'!$C:$C,F3357,'[1]2025年已发货'!$G:$G,I3357,'[1]2025年已发货'!$H:$H,J3357))</f>
        <v>10</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09" t="str">
        <f>VLOOKUP(B3357,辅助信息!E:J,6,FALSE)</f>
        <v>联系实际收货人（彭江涛13990276572）现场要求炉批号控制2个以下，超2个不给予签收。提前联系到场规格及数量</v>
      </c>
      <c r="O3357" s="62" t="str">
        <f ca="1" t="shared" si="186"/>
        <v/>
      </c>
      <c r="P3357" s="62"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0">
        <v>45909</v>
      </c>
      <c r="D3358" s="40" t="str">
        <f>VLOOKUP(B3358,辅助信息!E:K,7,FALSE)</f>
        <v>JWDDCD2025072900123</v>
      </c>
      <c r="E3358" s="40" t="str">
        <f>VLOOKUP(F3358,辅助信息!A:B,2,FALSE)</f>
        <v>螺纹钢</v>
      </c>
      <c r="F3358" s="40" t="s">
        <v>91</v>
      </c>
      <c r="G3358" s="36">
        <v>10</v>
      </c>
      <c r="H3358" s="134">
        <f>IF(SUMIFS('[1]2025年已发货'!$E:$E,'[1]2025年已发货'!$F:$F,C3358,'[1]2025年已发货'!$C:$C,F3358,'[1]2025年已发货'!$G:$G,I3358,'[1]2025年已发货'!$H:$H,J3358)=0,"未发货",SUMIFS('[1]2025年已发货'!$E:$E,'[1]2025年已发货'!$F:$F,C3358,'[1]2025年已发货'!$C:$C,F3358,'[1]2025年已发货'!$G:$G,I3358,'[1]2025年已发货'!$H:$H,J3358))</f>
        <v>10</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09" t="str">
        <f>VLOOKUP(B3358,辅助信息!E:J,6,FALSE)</f>
        <v>联系实际收货人（彭江涛13990276572）现场要求炉批号控制2个以下，超2个不给予签收。提前联系到场规格及数量</v>
      </c>
      <c r="O3358" s="62" t="str">
        <f ca="1" t="shared" si="186"/>
        <v/>
      </c>
      <c r="P3358" s="62"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0">
        <v>45910</v>
      </c>
      <c r="D3359" s="40" t="str">
        <f>VLOOKUP(B3359,辅助信息!E:K,7,FALSE)</f>
        <v>JWDDCD2025060900080</v>
      </c>
      <c r="E3359" s="40" t="str">
        <f>VLOOKUP(F3359,辅助信息!A:B,2,FALSE)</f>
        <v>盘螺</v>
      </c>
      <c r="F3359" s="40" t="s">
        <v>49</v>
      </c>
      <c r="G3359" s="36">
        <v>4</v>
      </c>
      <c r="H3359" s="134">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09" t="str">
        <f>VLOOKUP(B3359,辅助信息!E:J,6,FALSE)</f>
        <v>现场禁止使用氢能源挂车！优先威钢发货,我方卸车,新老国标钢厂不加价可直发，因陕钢多次出现磅差，项目拒绝使用</v>
      </c>
      <c r="O3359" s="62" t="str">
        <f ca="1" t="shared" si="186"/>
        <v/>
      </c>
      <c r="P3359" s="62"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0">
        <v>45910</v>
      </c>
      <c r="D3360" s="40" t="str">
        <f>VLOOKUP(B3360,辅助信息!E:K,7,FALSE)</f>
        <v>JWDDCD2025060900080</v>
      </c>
      <c r="E3360" s="40" t="str">
        <f>VLOOKUP(F3360,辅助信息!A:B,2,FALSE)</f>
        <v>盘螺</v>
      </c>
      <c r="F3360" s="40" t="s">
        <v>40</v>
      </c>
      <c r="G3360" s="36">
        <v>40</v>
      </c>
      <c r="H3360" s="134">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09" t="str">
        <f>VLOOKUP(B3360,辅助信息!E:J,6,FALSE)</f>
        <v>现场禁止使用氢能源挂车！优先威钢发货,我方卸车,新老国标钢厂不加价可直发，因陕钢多次出现磅差，项目拒绝使用</v>
      </c>
      <c r="O3360" s="62" t="str">
        <f ca="1" t="shared" ref="O3360:O3423" si="188">IF(OR(M3360="",N3360&lt;&gt;""),"",MAX(M3360-TODAY(),0))</f>
        <v/>
      </c>
      <c r="P3360" s="62"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0">
        <v>45910</v>
      </c>
      <c r="D3361" s="40" t="str">
        <f>VLOOKUP(B3361,辅助信息!E:K,7,FALSE)</f>
        <v>JWDDCD2025060900080</v>
      </c>
      <c r="E3361" s="40" t="str">
        <f>VLOOKUP(F3361,辅助信息!A:B,2,FALSE)</f>
        <v>盘螺</v>
      </c>
      <c r="F3361" s="40" t="s">
        <v>41</v>
      </c>
      <c r="G3361" s="36">
        <v>20</v>
      </c>
      <c r="H3361" s="134">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09" t="str">
        <f>VLOOKUP(B3361,辅助信息!E:J,6,FALSE)</f>
        <v>现场禁止使用氢能源挂车！优先威钢发货,我方卸车,新老国标钢厂不加价可直发，因陕钢多次出现磅差，项目拒绝使用</v>
      </c>
      <c r="O3361" s="62" t="str">
        <f ca="1" t="shared" si="188"/>
        <v/>
      </c>
      <c r="P3361" s="62"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0">
        <v>45910</v>
      </c>
      <c r="D3362" s="40" t="str">
        <f>VLOOKUP(B3362,辅助信息!E:K,7,FALSE)</f>
        <v>JWDDCD2025060900080</v>
      </c>
      <c r="E3362" s="40" t="str">
        <f>VLOOKUP(F3362,辅助信息!A:B,2,FALSE)</f>
        <v>盘螺</v>
      </c>
      <c r="F3362" s="40" t="s">
        <v>26</v>
      </c>
      <c r="G3362" s="36">
        <v>12</v>
      </c>
      <c r="H3362" s="134">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09" t="str">
        <f>VLOOKUP(B3362,辅助信息!E:J,6,FALSE)</f>
        <v>现场禁止使用氢能源挂车！优先威钢发货,我方卸车,新老国标钢厂不加价可直发，因陕钢多次出现磅差，项目拒绝使用</v>
      </c>
      <c r="O3362" s="62" t="str">
        <f ca="1" t="shared" si="188"/>
        <v/>
      </c>
      <c r="P3362" s="62"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0">
        <v>45910</v>
      </c>
      <c r="D3363" s="40" t="str">
        <f>VLOOKUP(B3363,辅助信息!E:K,7,FALSE)</f>
        <v>JWDDCD2025060900080</v>
      </c>
      <c r="E3363" s="40" t="str">
        <f>VLOOKUP(F3363,辅助信息!A:B,2,FALSE)</f>
        <v>螺纹钢</v>
      </c>
      <c r="F3363" s="40" t="s">
        <v>19</v>
      </c>
      <c r="G3363" s="36">
        <v>10</v>
      </c>
      <c r="H3363" s="134">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09" t="str">
        <f>VLOOKUP(B3363,辅助信息!E:J,6,FALSE)</f>
        <v>现场禁止使用氢能源挂车！优先威钢发货,我方卸车,新老国标钢厂不加价可直发，因陕钢多次出现磅差，项目拒绝使用</v>
      </c>
      <c r="O3363" s="62" t="str">
        <f ca="1" t="shared" si="188"/>
        <v/>
      </c>
      <c r="P3363" s="62"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0">
        <v>45910</v>
      </c>
      <c r="D3364" s="40" t="str">
        <f>VLOOKUP(B3364,辅助信息!E:K,7,FALSE)</f>
        <v>JWDDCD2025060900080</v>
      </c>
      <c r="E3364" s="40" t="str">
        <f>VLOOKUP(F3364,辅助信息!A:B,2,FALSE)</f>
        <v>螺纹钢</v>
      </c>
      <c r="F3364" s="40" t="s">
        <v>32</v>
      </c>
      <c r="G3364" s="36">
        <v>12</v>
      </c>
      <c r="H3364" s="134">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09" t="str">
        <f>VLOOKUP(B3364,辅助信息!E:J,6,FALSE)</f>
        <v>现场禁止使用氢能源挂车！优先威钢发货,我方卸车,新老国标钢厂不加价可直发，因陕钢多次出现磅差，项目拒绝使用</v>
      </c>
      <c r="O3364" s="62" t="str">
        <f ca="1" t="shared" si="188"/>
        <v/>
      </c>
      <c r="P3364" s="62"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0">
        <v>45910</v>
      </c>
      <c r="D3365" s="40" t="str">
        <f>VLOOKUP(B3365,辅助信息!E:K,7,FALSE)</f>
        <v>JWDDCD2025060900080</v>
      </c>
      <c r="E3365" s="40" t="str">
        <f>VLOOKUP(F3365,辅助信息!A:B,2,FALSE)</f>
        <v>螺纹钢</v>
      </c>
      <c r="F3365" s="40" t="s">
        <v>30</v>
      </c>
      <c r="G3365" s="36">
        <v>6</v>
      </c>
      <c r="H3365" s="134">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09" t="str">
        <f>VLOOKUP(B3365,辅助信息!E:J,6,FALSE)</f>
        <v>现场禁止使用氢能源挂车！优先威钢发货,我方卸车,新老国标钢厂不加价可直发，因陕钢多次出现磅差，项目拒绝使用</v>
      </c>
      <c r="O3365" s="62" t="str">
        <f ca="1" t="shared" si="188"/>
        <v/>
      </c>
      <c r="P3365" s="62"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0">
        <v>45910</v>
      </c>
      <c r="D3366" s="40" t="str">
        <f>VLOOKUP(B3366,辅助信息!E:K,7,FALSE)</f>
        <v>JWDDCD2025060900080</v>
      </c>
      <c r="E3366" s="40" t="str">
        <f>VLOOKUP(F3366,辅助信息!A:B,2,FALSE)</f>
        <v>螺纹钢</v>
      </c>
      <c r="F3366" s="40" t="s">
        <v>33</v>
      </c>
      <c r="G3366" s="36">
        <v>2</v>
      </c>
      <c r="H3366" s="134">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09" t="str">
        <f>VLOOKUP(B3366,辅助信息!E:J,6,FALSE)</f>
        <v>现场禁止使用氢能源挂车！优先威钢发货,我方卸车,新老国标钢厂不加价可直发，因陕钢多次出现磅差，项目拒绝使用</v>
      </c>
      <c r="O3366" s="62" t="str">
        <f ca="1" t="shared" si="188"/>
        <v/>
      </c>
      <c r="P3366" s="62"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0">
        <v>45910</v>
      </c>
      <c r="D3367" s="40" t="str">
        <f>VLOOKUP(B3367,辅助信息!E:K,7,FALSE)</f>
        <v>JWDDCD2025102100476</v>
      </c>
      <c r="E3367" s="40" t="str">
        <f>VLOOKUP(F3367,辅助信息!A:B,2,FALSE)</f>
        <v>盘螺</v>
      </c>
      <c r="F3367" s="40" t="s">
        <v>40</v>
      </c>
      <c r="G3367" s="36">
        <v>10</v>
      </c>
      <c r="H3367" s="134">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09"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1">
        <v>45911</v>
      </c>
      <c r="O3367" s="62">
        <f ca="1" t="shared" si="188"/>
        <v>0</v>
      </c>
      <c r="P3367" s="62">
        <f ca="1" t="shared" si="189"/>
        <v>49</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0">
        <v>45910</v>
      </c>
      <c r="D3368" s="40" t="str">
        <f>VLOOKUP(B3368,辅助信息!E:K,7,FALSE)</f>
        <v>JWDDCD2025102100476</v>
      </c>
      <c r="E3368" s="40" t="str">
        <f>VLOOKUP(F3368,辅助信息!A:B,2,FALSE)</f>
        <v>盘螺</v>
      </c>
      <c r="F3368" s="40" t="s">
        <v>41</v>
      </c>
      <c r="G3368" s="36">
        <v>10</v>
      </c>
      <c r="H3368" s="134">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09"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1">
        <v>45911</v>
      </c>
      <c r="O3368" s="62">
        <f ca="1" t="shared" si="188"/>
        <v>0</v>
      </c>
      <c r="P3368" s="62">
        <f ca="1" t="shared" si="189"/>
        <v>49</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0">
        <v>45910</v>
      </c>
      <c r="D3369" s="40" t="str">
        <f>VLOOKUP(B3369,辅助信息!E:K,7,FALSE)</f>
        <v>JWDDCD2025102100476</v>
      </c>
      <c r="E3369" s="40" t="str">
        <f>VLOOKUP(F3369,辅助信息!A:B,2,FALSE)</f>
        <v>螺纹钢</v>
      </c>
      <c r="F3369" s="40" t="s">
        <v>66</v>
      </c>
      <c r="G3369" s="36">
        <v>2.5</v>
      </c>
      <c r="H3369" s="134">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09"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1">
        <v>45911</v>
      </c>
      <c r="O3369" s="62">
        <f ca="1" t="shared" si="188"/>
        <v>0</v>
      </c>
      <c r="P3369" s="62">
        <f ca="1" t="shared" si="189"/>
        <v>49</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0">
        <v>45910</v>
      </c>
      <c r="D3370" s="40" t="str">
        <f>VLOOKUP(B3370,辅助信息!E:K,7,FALSE)</f>
        <v>JWDDCD2025102100476</v>
      </c>
      <c r="E3370" s="40" t="str">
        <f>VLOOKUP(F3370,辅助信息!A:B,2,FALSE)</f>
        <v>螺纹钢</v>
      </c>
      <c r="F3370" s="40" t="s">
        <v>82</v>
      </c>
      <c r="G3370" s="36">
        <v>2.5</v>
      </c>
      <c r="H3370" s="134">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09"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1">
        <v>45911</v>
      </c>
      <c r="O3370" s="62">
        <f ca="1" t="shared" si="188"/>
        <v>0</v>
      </c>
      <c r="P3370" s="62">
        <f ca="1" t="shared" si="189"/>
        <v>49</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0">
        <v>45910</v>
      </c>
      <c r="D3371" s="40" t="str">
        <f>VLOOKUP(B3371,辅助信息!E:K,7,FALSE)</f>
        <v>JWDDCD2025102100476</v>
      </c>
      <c r="E3371" s="40" t="str">
        <f>VLOOKUP(F3371,辅助信息!A:B,2,FALSE)</f>
        <v>螺纹钢</v>
      </c>
      <c r="F3371" s="40" t="s">
        <v>45</v>
      </c>
      <c r="G3371" s="36">
        <v>2.5</v>
      </c>
      <c r="H3371" s="134">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09"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1">
        <v>45911</v>
      </c>
      <c r="O3371" s="62">
        <f ca="1" t="shared" si="188"/>
        <v>0</v>
      </c>
      <c r="P3371" s="62">
        <f ca="1" t="shared" si="189"/>
        <v>49</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0">
        <v>45910</v>
      </c>
      <c r="D3372" s="40" t="str">
        <f>VLOOKUP(B3372,辅助信息!E:K,7,FALSE)</f>
        <v>JWDDCD2025102100476</v>
      </c>
      <c r="E3372" s="40" t="str">
        <f>VLOOKUP(F3372,辅助信息!A:B,2,FALSE)</f>
        <v>螺纹钢</v>
      </c>
      <c r="F3372" s="40" t="s">
        <v>21</v>
      </c>
      <c r="G3372" s="36">
        <v>2.5</v>
      </c>
      <c r="H3372" s="134">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09"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1">
        <v>45911</v>
      </c>
      <c r="O3372" s="62">
        <f ca="1" t="shared" si="188"/>
        <v>0</v>
      </c>
      <c r="P3372" s="62">
        <f ca="1" t="shared" si="189"/>
        <v>49</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0">
        <v>45910</v>
      </c>
      <c r="D3373" s="40" t="str">
        <f>VLOOKUP(B3373,辅助信息!E:K,7,FALSE)</f>
        <v>JWDDCD2025102100476</v>
      </c>
      <c r="E3373" s="40" t="str">
        <f>VLOOKUP(F3373,辅助信息!A:B,2,FALSE)</f>
        <v>螺纹钢</v>
      </c>
      <c r="F3373" s="40" t="s">
        <v>58</v>
      </c>
      <c r="G3373" s="36">
        <v>10</v>
      </c>
      <c r="H3373" s="134">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09"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1">
        <v>45911</v>
      </c>
      <c r="O3373" s="62">
        <f ca="1" t="shared" si="188"/>
        <v>0</v>
      </c>
      <c r="P3373" s="62">
        <f ca="1" t="shared" si="189"/>
        <v>49</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0">
        <v>45910</v>
      </c>
      <c r="D3374" s="40" t="str">
        <f>VLOOKUP(B3374,辅助信息!E:K,7,FALSE)</f>
        <v>JWDDCD2025102100476</v>
      </c>
      <c r="E3374" s="40" t="str">
        <f>VLOOKUP(F3374,辅助信息!A:B,2,FALSE)</f>
        <v>螺纹钢</v>
      </c>
      <c r="F3374" s="40" t="s">
        <v>46</v>
      </c>
      <c r="G3374" s="36">
        <v>10</v>
      </c>
      <c r="H3374" s="134">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09"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1">
        <v>45911</v>
      </c>
      <c r="O3374" s="62">
        <f ca="1" t="shared" si="188"/>
        <v>0</v>
      </c>
      <c r="P3374" s="62">
        <f ca="1" t="shared" si="189"/>
        <v>49</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0">
        <v>45910</v>
      </c>
      <c r="D3375" s="40" t="str">
        <f>VLOOKUP(B3375,辅助信息!E:K,7,FALSE)</f>
        <v>JWDDCD2025102100476</v>
      </c>
      <c r="E3375" s="40" t="str">
        <f>VLOOKUP(F3375,辅助信息!A:B,2,FALSE)</f>
        <v>螺纹钢</v>
      </c>
      <c r="F3375" s="40" t="s">
        <v>22</v>
      </c>
      <c r="G3375" s="36">
        <v>20</v>
      </c>
      <c r="H3375" s="134">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09"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1">
        <v>45911</v>
      </c>
      <c r="O3375" s="62">
        <f ca="1" t="shared" si="188"/>
        <v>0</v>
      </c>
      <c r="P3375" s="62">
        <f ca="1" t="shared" si="189"/>
        <v>49</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1" t="s">
        <v>217</v>
      </c>
      <c r="B3376" s="40" t="s">
        <v>211</v>
      </c>
      <c r="C3376" s="70">
        <v>45912</v>
      </c>
      <c r="D3376" s="40" t="e">
        <f>VLOOKUP(B3376,辅助信息!E:K,7,FALSE)</f>
        <v>#N/A</v>
      </c>
      <c r="E3376" s="40" t="str">
        <f>VLOOKUP(F3376,辅助信息!A:B,2,FALSE)</f>
        <v>盘螺</v>
      </c>
      <c r="F3376" s="40" t="s">
        <v>26</v>
      </c>
      <c r="G3376" s="36">
        <v>5</v>
      </c>
      <c r="H3376" s="134"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09" t="e">
        <f>VLOOKUP(B3376,辅助信息!E:J,6,FALSE)</f>
        <v>#N/A</v>
      </c>
      <c r="O3376" s="62" t="str">
        <f ca="1" t="shared" si="188"/>
        <v/>
      </c>
      <c r="P3376" s="62" t="str">
        <f ca="1" t="shared" si="189"/>
        <v/>
      </c>
      <c r="Q3376" s="29" t="e">
        <f>VLOOKUP(B3376,辅助信息!E:M,9,FALSE)</f>
        <v>#N/A</v>
      </c>
      <c r="R3376" s="29" vm="1" t="e">
        <f>_xlfn._xlws.FILTER(辅助信息!D:D,辅助信息!E:E=B3376)</f>
        <v>#VALUE!</v>
      </c>
    </row>
    <row r="3377" hidden="1" spans="1:18">
      <c r="A3377" s="71"/>
      <c r="B3377" s="40" t="s">
        <v>211</v>
      </c>
      <c r="C3377" s="70">
        <v>45912</v>
      </c>
      <c r="D3377" s="40" t="e">
        <f>VLOOKUP(B3377,辅助信息!E:K,7,FALSE)</f>
        <v>#N/A</v>
      </c>
      <c r="E3377" s="40" t="str">
        <f>VLOOKUP(F3377,辅助信息!A:B,2,FALSE)</f>
        <v>螺纹钢</v>
      </c>
      <c r="F3377" s="40" t="s">
        <v>19</v>
      </c>
      <c r="G3377" s="36">
        <v>3</v>
      </c>
      <c r="H3377" s="134"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09" t="e">
        <f>VLOOKUP(B3377,辅助信息!E:J,6,FALSE)</f>
        <v>#N/A</v>
      </c>
      <c r="O3377" s="62" t="str">
        <f ca="1" t="shared" si="188"/>
        <v/>
      </c>
      <c r="P3377" s="62" t="str">
        <f ca="1" t="shared" si="189"/>
        <v/>
      </c>
      <c r="Q3377" s="29" t="e">
        <f>VLOOKUP(B3377,辅助信息!E:M,9,FALSE)</f>
        <v>#N/A</v>
      </c>
      <c r="R3377" s="29" vm="1" t="e">
        <f>_xlfn._xlws.FILTER(辅助信息!D:D,辅助信息!E:E=B3377)</f>
        <v>#VALUE!</v>
      </c>
    </row>
    <row r="3378" hidden="1" spans="1:18">
      <c r="A3378" s="71"/>
      <c r="B3378" s="40" t="s">
        <v>211</v>
      </c>
      <c r="C3378" s="70">
        <v>45912</v>
      </c>
      <c r="D3378" s="40" t="e">
        <f>VLOOKUP(B3378,辅助信息!E:K,7,FALSE)</f>
        <v>#N/A</v>
      </c>
      <c r="E3378" s="40" t="str">
        <f>VLOOKUP(F3378,辅助信息!A:B,2,FALSE)</f>
        <v>螺纹钢</v>
      </c>
      <c r="F3378" s="40" t="s">
        <v>32</v>
      </c>
      <c r="G3378" s="36">
        <v>9</v>
      </c>
      <c r="H3378" s="134"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09" t="e">
        <f>VLOOKUP(B3378,辅助信息!E:J,6,FALSE)</f>
        <v>#N/A</v>
      </c>
      <c r="O3378" s="62" t="str">
        <f ca="1" t="shared" si="188"/>
        <v/>
      </c>
      <c r="P3378" s="62" t="str">
        <f ca="1" t="shared" si="189"/>
        <v/>
      </c>
      <c r="Q3378" s="29" t="e">
        <f>VLOOKUP(B3378,辅助信息!E:M,9,FALSE)</f>
        <v>#N/A</v>
      </c>
      <c r="R3378" s="29" vm="1" t="e">
        <f>_xlfn._xlws.FILTER(辅助信息!D:D,辅助信息!E:E=B3378)</f>
        <v>#VALUE!</v>
      </c>
    </row>
    <row r="3379" hidden="1" spans="1:18">
      <c r="A3379" s="71"/>
      <c r="B3379" s="40" t="s">
        <v>211</v>
      </c>
      <c r="C3379" s="70">
        <v>45912</v>
      </c>
      <c r="D3379" s="40" t="e">
        <f>VLOOKUP(B3379,辅助信息!E:K,7,FALSE)</f>
        <v>#N/A</v>
      </c>
      <c r="E3379" s="40" t="str">
        <f>VLOOKUP(F3379,辅助信息!A:B,2,FALSE)</f>
        <v>螺纹钢</v>
      </c>
      <c r="F3379" s="40" t="s">
        <v>30</v>
      </c>
      <c r="G3379" s="36">
        <v>6</v>
      </c>
      <c r="H3379" s="134"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09" t="e">
        <f>VLOOKUP(B3379,辅助信息!E:J,6,FALSE)</f>
        <v>#N/A</v>
      </c>
      <c r="O3379" s="62" t="str">
        <f ca="1" t="shared" si="188"/>
        <v/>
      </c>
      <c r="P3379" s="62" t="str">
        <f ca="1" t="shared" si="189"/>
        <v/>
      </c>
      <c r="Q3379" s="29" t="e">
        <f>VLOOKUP(B3379,辅助信息!E:M,9,FALSE)</f>
        <v>#N/A</v>
      </c>
      <c r="R3379" s="29" vm="1" t="e">
        <f>_xlfn._xlws.FILTER(辅助信息!D:D,辅助信息!E:E=B3379)</f>
        <v>#VALUE!</v>
      </c>
    </row>
    <row r="3380" hidden="1" spans="1:18">
      <c r="A3380" s="71"/>
      <c r="B3380" s="40" t="s">
        <v>211</v>
      </c>
      <c r="C3380" s="70">
        <v>45912</v>
      </c>
      <c r="D3380" s="40" t="e">
        <f>VLOOKUP(B3380,辅助信息!E:K,7,FALSE)</f>
        <v>#N/A</v>
      </c>
      <c r="E3380" s="40" t="str">
        <f>VLOOKUP(F3380,辅助信息!A:B,2,FALSE)</f>
        <v>螺纹钢</v>
      </c>
      <c r="F3380" s="40" t="s">
        <v>33</v>
      </c>
      <c r="G3380" s="36">
        <v>3</v>
      </c>
      <c r="H3380" s="134"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09" t="e">
        <f>VLOOKUP(B3380,辅助信息!E:J,6,FALSE)</f>
        <v>#N/A</v>
      </c>
      <c r="O3380" s="62" t="str">
        <f ca="1" t="shared" si="188"/>
        <v/>
      </c>
      <c r="P3380" s="62" t="str">
        <f ca="1" t="shared" si="189"/>
        <v/>
      </c>
      <c r="Q3380" s="29" t="e">
        <f>VLOOKUP(B3380,辅助信息!E:M,9,FALSE)</f>
        <v>#N/A</v>
      </c>
      <c r="R3380" s="29" vm="1" t="e">
        <f>_xlfn._xlws.FILTER(辅助信息!D:D,辅助信息!E:E=B3380)</f>
        <v>#VALUE!</v>
      </c>
    </row>
    <row r="3381" hidden="1" spans="1:18">
      <c r="A3381" s="71"/>
      <c r="B3381" s="40" t="s">
        <v>211</v>
      </c>
      <c r="C3381" s="70">
        <v>45912</v>
      </c>
      <c r="D3381" s="40" t="e">
        <f>VLOOKUP(B3381,辅助信息!E:K,7,FALSE)</f>
        <v>#N/A</v>
      </c>
      <c r="E3381" s="40" t="str">
        <f>VLOOKUP(F3381,辅助信息!A:B,2,FALSE)</f>
        <v>螺纹钢</v>
      </c>
      <c r="F3381" s="40" t="s">
        <v>28</v>
      </c>
      <c r="G3381" s="36">
        <v>3</v>
      </c>
      <c r="H3381" s="134"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09" t="e">
        <f>VLOOKUP(B3381,辅助信息!E:J,6,FALSE)</f>
        <v>#N/A</v>
      </c>
      <c r="O3381" s="62" t="str">
        <f ca="1" t="shared" si="188"/>
        <v/>
      </c>
      <c r="P3381" s="62" t="str">
        <f ca="1" t="shared" si="189"/>
        <v/>
      </c>
      <c r="Q3381" s="29" t="e">
        <f>VLOOKUP(B3381,辅助信息!E:M,9,FALSE)</f>
        <v>#N/A</v>
      </c>
      <c r="R3381" s="29" vm="1" t="e">
        <f>_xlfn._xlws.FILTER(辅助信息!D:D,辅助信息!E:E=B3381)</f>
        <v>#VALUE!</v>
      </c>
    </row>
    <row r="3382" hidden="1" spans="1:18">
      <c r="A3382" s="71"/>
      <c r="B3382" s="40" t="s">
        <v>211</v>
      </c>
      <c r="C3382" s="70">
        <v>45912</v>
      </c>
      <c r="D3382" s="40" t="e">
        <f>VLOOKUP(B3382,辅助信息!E:K,7,FALSE)</f>
        <v>#N/A</v>
      </c>
      <c r="E3382" s="40" t="str">
        <f>VLOOKUP(F3382,辅助信息!A:B,2,FALSE)</f>
        <v>螺纹钢</v>
      </c>
      <c r="F3382" s="40" t="s">
        <v>18</v>
      </c>
      <c r="G3382" s="36">
        <v>6</v>
      </c>
      <c r="H3382" s="134"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09" t="e">
        <f>VLOOKUP(B3382,辅助信息!E:J,6,FALSE)</f>
        <v>#N/A</v>
      </c>
      <c r="O3382" s="62" t="str">
        <f ca="1" t="shared" si="188"/>
        <v/>
      </c>
      <c r="P3382" s="62" t="str">
        <f ca="1" t="shared" si="189"/>
        <v/>
      </c>
      <c r="Q3382" s="29" t="e">
        <f>VLOOKUP(B3382,辅助信息!E:M,9,FALSE)</f>
        <v>#N/A</v>
      </c>
      <c r="R3382" s="29" vm="1" t="e">
        <f>_xlfn._xlws.FILTER(辅助信息!D:D,辅助信息!E:E=B3382)</f>
        <v>#VALUE!</v>
      </c>
    </row>
    <row r="3383" hidden="1" spans="2:18">
      <c r="B3383" s="40" t="s">
        <v>186</v>
      </c>
      <c r="C3383" s="70">
        <v>45911</v>
      </c>
      <c r="D3383" s="40" t="str">
        <f>VLOOKUP(B3383,辅助信息!E:K,7,FALSE)</f>
        <v>JWDDCD2025072900123</v>
      </c>
      <c r="E3383" s="40" t="str">
        <f>VLOOKUP(F3383,辅助信息!A:B,2,FALSE)</f>
        <v>高线</v>
      </c>
      <c r="F3383" s="40" t="s">
        <v>57</v>
      </c>
      <c r="G3383" s="36">
        <v>8</v>
      </c>
      <c r="H3383" s="134"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09" t="str">
        <f>VLOOKUP(B3383,辅助信息!E:J,6,FALSE)</f>
        <v>联系实际收货人（彭江涛13990276572）现场要求炉批号控制2个以下，超2个不给予签收。提前联系到场规格及数量</v>
      </c>
      <c r="O3383" s="62" t="str">
        <f ca="1" t="shared" si="188"/>
        <v/>
      </c>
      <c r="P3383" s="62"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0">
        <v>45911</v>
      </c>
      <c r="D3384" s="40" t="str">
        <f>VLOOKUP(B3384,辅助信息!E:K,7,FALSE)</f>
        <v>JWDDCD2025072900123</v>
      </c>
      <c r="E3384" s="40" t="str">
        <f>VLOOKUP(F3384,辅助信息!A:B,2,FALSE)</f>
        <v>螺纹钢</v>
      </c>
      <c r="F3384" s="40" t="s">
        <v>76</v>
      </c>
      <c r="G3384" s="36">
        <v>9</v>
      </c>
      <c r="H3384" s="134">
        <f>IF(SUMIFS('[1]2025年已发货'!$E:$E,'[1]2025年已发货'!$F:$F,C3384,'[1]2025年已发货'!$C:$C,F3384,'[1]2025年已发货'!$G:$G,I3384,'[1]2025年已发货'!$H:$H,J3384)=0,"未发货",SUMIFS('[1]2025年已发货'!$E:$E,'[1]2025年已发货'!$F:$F,C3384,'[1]2025年已发货'!$C:$C,F3384,'[1]2025年已发货'!$G:$G,I3384,'[1]2025年已发货'!$H:$H,J3384))</f>
        <v>9</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09" t="str">
        <f>VLOOKUP(B3384,辅助信息!E:J,6,FALSE)</f>
        <v>联系实际收货人（彭江涛13990276572）现场要求炉批号控制2个以下，超2个不给予签收。提前联系到场规格及数量</v>
      </c>
      <c r="O3384" s="62" t="str">
        <f ca="1" t="shared" si="188"/>
        <v/>
      </c>
      <c r="P3384" s="62"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0">
        <v>45911</v>
      </c>
      <c r="D3385" s="40" t="str">
        <f>VLOOKUP(B3385,辅助信息!E:K,7,FALSE)</f>
        <v>JWDDCD2025072900123</v>
      </c>
      <c r="E3385" s="40" t="str">
        <f>VLOOKUP(F3385,辅助信息!A:B,2,FALSE)</f>
        <v>螺纹钢</v>
      </c>
      <c r="F3385" s="40" t="s">
        <v>19</v>
      </c>
      <c r="G3385" s="36">
        <v>18</v>
      </c>
      <c r="H3385" s="134">
        <f>IF(SUMIFS('[1]2025年已发货'!$E:$E,'[1]2025年已发货'!$F:$F,C3385,'[1]2025年已发货'!$C:$C,F3385,'[1]2025年已发货'!$G:$G,I3385,'[1]2025年已发货'!$H:$H,J3385)=0,"未发货",SUMIFS('[1]2025年已发货'!$E:$E,'[1]2025年已发货'!$F:$F,C3385,'[1]2025年已发货'!$C:$C,F3385,'[1]2025年已发货'!$G:$G,I3385,'[1]2025年已发货'!$H:$H,J3385))</f>
        <v>18</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09" t="str">
        <f>VLOOKUP(B3385,辅助信息!E:J,6,FALSE)</f>
        <v>联系实际收货人（彭江涛13990276572）现场要求炉批号控制2个以下，超2个不给予签收。提前联系到场规格及数量</v>
      </c>
      <c r="O3385" s="62" t="str">
        <f ca="1" t="shared" si="188"/>
        <v/>
      </c>
      <c r="P3385" s="62"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0">
        <v>45911</v>
      </c>
      <c r="D3386" s="40" t="str">
        <f>VLOOKUP(B3386,辅助信息!E:K,7,FALSE)</f>
        <v>JWDDCD2025072900123</v>
      </c>
      <c r="E3386" s="40" t="str">
        <f>VLOOKUP(F3386,辅助信息!A:B,2,FALSE)</f>
        <v>螺纹钢</v>
      </c>
      <c r="F3386" s="40" t="s">
        <v>32</v>
      </c>
      <c r="G3386" s="36">
        <v>10</v>
      </c>
      <c r="H3386" s="134">
        <f>IF(SUMIFS('[1]2025年已发货'!$E:$E,'[1]2025年已发货'!$F:$F,C3386,'[1]2025年已发货'!$C:$C,F3386,'[1]2025年已发货'!$G:$G,I3386,'[1]2025年已发货'!$H:$H,J3386)=0,"未发货",SUMIFS('[1]2025年已发货'!$E:$E,'[1]2025年已发货'!$F:$F,C3386,'[1]2025年已发货'!$C:$C,F3386,'[1]2025年已发货'!$G:$G,I3386,'[1]2025年已发货'!$H:$H,J3386))</f>
        <v>10</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09" t="str">
        <f>VLOOKUP(B3386,辅助信息!E:J,6,FALSE)</f>
        <v>联系实际收货人（彭江涛13990276572）现场要求炉批号控制2个以下，超2个不给予签收。提前联系到场规格及数量</v>
      </c>
      <c r="O3386" s="62" t="str">
        <f ca="1" t="shared" si="188"/>
        <v/>
      </c>
      <c r="P3386" s="62"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0">
        <v>45911</v>
      </c>
      <c r="D3387" s="40" t="str">
        <f>VLOOKUP(B3387,辅助信息!E:K,7,FALSE)</f>
        <v>JWDDCD2025072900123</v>
      </c>
      <c r="E3387" s="40" t="str">
        <f>VLOOKUP(F3387,辅助信息!A:B,2,FALSE)</f>
        <v>螺纹钢</v>
      </c>
      <c r="F3387" s="40" t="s">
        <v>30</v>
      </c>
      <c r="G3387" s="36">
        <v>15</v>
      </c>
      <c r="H3387" s="134">
        <f>IF(SUMIFS('[1]2025年已发货'!$E:$E,'[1]2025年已发货'!$F:$F,C3387,'[1]2025年已发货'!$C:$C,F3387,'[1]2025年已发货'!$G:$G,I3387,'[1]2025年已发货'!$H:$H,J3387)=0,"未发货",SUMIFS('[1]2025年已发货'!$E:$E,'[1]2025年已发货'!$F:$F,C3387,'[1]2025年已发货'!$C:$C,F3387,'[1]2025年已发货'!$G:$G,I3387,'[1]2025年已发货'!$H:$H,J3387))</f>
        <v>15</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09" t="str">
        <f>VLOOKUP(B3387,辅助信息!E:J,6,FALSE)</f>
        <v>联系实际收货人（彭江涛13990276572）现场要求炉批号控制2个以下，超2个不给予签收。提前联系到场规格及数量</v>
      </c>
      <c r="O3387" s="62" t="str">
        <f ca="1" t="shared" si="188"/>
        <v/>
      </c>
      <c r="P3387" s="62"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0">
        <v>45911</v>
      </c>
      <c r="D3388" s="40" t="str">
        <f>VLOOKUP(B3388,辅助信息!E:K,7,FALSE)</f>
        <v>JWDDCD2025072900123</v>
      </c>
      <c r="E3388" s="40" t="str">
        <f>VLOOKUP(F3388,辅助信息!A:B,2,FALSE)</f>
        <v>螺纹钢</v>
      </c>
      <c r="F3388" s="40" t="s">
        <v>33</v>
      </c>
      <c r="G3388" s="36">
        <v>35</v>
      </c>
      <c r="H3388" s="134">
        <f>IF(SUMIFS('[1]2025年已发货'!$E:$E,'[1]2025年已发货'!$F:$F,C3388,'[1]2025年已发货'!$C:$C,F3388,'[1]2025年已发货'!$G:$G,I3388,'[1]2025年已发货'!$H:$H,J3388)=0,"未发货",SUMIFS('[1]2025年已发货'!$E:$E,'[1]2025年已发货'!$F:$F,C3388,'[1]2025年已发货'!$C:$C,F3388,'[1]2025年已发货'!$G:$G,I3388,'[1]2025年已发货'!$H:$H,J3388))</f>
        <v>35</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09" t="str">
        <f>VLOOKUP(B3388,辅助信息!E:J,6,FALSE)</f>
        <v>联系实际收货人（彭江涛13990276572）现场要求炉批号控制2个以下，超2个不给予签收。提前联系到场规格及数量</v>
      </c>
      <c r="O3388" s="62" t="str">
        <f ca="1" t="shared" si="188"/>
        <v/>
      </c>
      <c r="P3388" s="62"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0">
        <v>45911</v>
      </c>
      <c r="D3389" s="40" t="str">
        <f>VLOOKUP(B3389,辅助信息!E:K,7,FALSE)</f>
        <v>JWDDCD2025072900123</v>
      </c>
      <c r="E3389" s="40" t="str">
        <f>VLOOKUP(F3389,辅助信息!A:B,2,FALSE)</f>
        <v>螺纹钢</v>
      </c>
      <c r="F3389" s="40" t="s">
        <v>28</v>
      </c>
      <c r="G3389" s="36">
        <v>10</v>
      </c>
      <c r="H3389" s="134">
        <f>IF(SUMIFS('[1]2025年已发货'!$E:$E,'[1]2025年已发货'!$F:$F,C3389,'[1]2025年已发货'!$C:$C,F3389,'[1]2025年已发货'!$G:$G,I3389,'[1]2025年已发货'!$H:$H,J3389)=0,"未发货",SUMIFS('[1]2025年已发货'!$E:$E,'[1]2025年已发货'!$F:$F,C3389,'[1]2025年已发货'!$C:$C,F3389,'[1]2025年已发货'!$G:$G,I3389,'[1]2025年已发货'!$H:$H,J3389))</f>
        <v>10</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09" t="str">
        <f>VLOOKUP(B3389,辅助信息!E:J,6,FALSE)</f>
        <v>联系实际收货人（彭江涛13990276572）现场要求炉批号控制2个以下，超2个不给予签收。提前联系到场规格及数量</v>
      </c>
      <c r="O3389" s="62" t="str">
        <f ca="1" t="shared" si="188"/>
        <v/>
      </c>
      <c r="P3389" s="62"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0">
        <v>45911</v>
      </c>
      <c r="D3390" s="40" t="str">
        <f>VLOOKUP(B3390,辅助信息!E:K,7,FALSE)</f>
        <v>JWDDCD2025072900123</v>
      </c>
      <c r="E3390" s="40" t="str">
        <f>VLOOKUP(F3390,辅助信息!A:B,2,FALSE)</f>
        <v>螺纹钢</v>
      </c>
      <c r="F3390" s="40" t="s">
        <v>18</v>
      </c>
      <c r="G3390" s="36">
        <v>17</v>
      </c>
      <c r="H3390" s="134">
        <f>IF(SUMIFS('[1]2025年已发货'!$E:$E,'[1]2025年已发货'!$F:$F,C3390,'[1]2025年已发货'!$C:$C,F3390,'[1]2025年已发货'!$G:$G,I3390,'[1]2025年已发货'!$H:$H,J3390)=0,"未发货",SUMIFS('[1]2025年已发货'!$E:$E,'[1]2025年已发货'!$F:$F,C3390,'[1]2025年已发货'!$C:$C,F3390,'[1]2025年已发货'!$G:$G,I3390,'[1]2025年已发货'!$H:$H,J3390))</f>
        <v>17</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09" t="str">
        <f>VLOOKUP(B3390,辅助信息!E:J,6,FALSE)</f>
        <v>联系实际收货人（彭江涛13990276572）现场要求炉批号控制2个以下，超2个不给予签收。提前联系到场规格及数量</v>
      </c>
      <c r="O3390" s="62" t="str">
        <f ca="1" t="shared" si="188"/>
        <v/>
      </c>
      <c r="P3390" s="62"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0">
        <v>45911</v>
      </c>
      <c r="D3391" s="40" t="str">
        <f>VLOOKUP(B3391,辅助信息!E:K,7,FALSE)</f>
        <v>JWDDCD2025072900123</v>
      </c>
      <c r="E3391" s="40" t="str">
        <f>VLOOKUP(F3391,辅助信息!A:B,2,FALSE)</f>
        <v>螺纹钢</v>
      </c>
      <c r="F3391" s="40" t="s">
        <v>205</v>
      </c>
      <c r="G3391" s="36">
        <v>12</v>
      </c>
      <c r="H3391" s="134"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09" t="str">
        <f>VLOOKUP(B3391,辅助信息!E:J,6,FALSE)</f>
        <v>联系实际收货人（彭江涛13990276572）现场要求炉批号控制2个以下，超2个不给予签收。提前联系到场规格及数量</v>
      </c>
      <c r="O3391" s="62" t="str">
        <f ca="1" t="shared" si="188"/>
        <v/>
      </c>
      <c r="P3391" s="62"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0">
        <v>45911</v>
      </c>
      <c r="D3392" s="40" t="str">
        <f>VLOOKUP(B3392,辅助信息!E:K,7,FALSE)</f>
        <v>JWDDCD2025072900123</v>
      </c>
      <c r="E3392" s="40" t="str">
        <f>VLOOKUP(F3392,辅助信息!A:B,2,FALSE)</f>
        <v>螺纹钢</v>
      </c>
      <c r="F3392" s="40" t="s">
        <v>82</v>
      </c>
      <c r="G3392" s="36">
        <v>3</v>
      </c>
      <c r="H3392" s="134">
        <f>IF(SUMIFS('[1]2025年已发货'!$E:$E,'[1]2025年已发货'!$F:$F,C3392,'[1]2025年已发货'!$C:$C,F3392,'[1]2025年已发货'!$G:$G,I3392,'[1]2025年已发货'!$H:$H,J3392)=0,"未发货",SUMIFS('[1]2025年已发货'!$E:$E,'[1]2025年已发货'!$F:$F,C3392,'[1]2025年已发货'!$C:$C,F3392,'[1]2025年已发货'!$G:$G,I3392,'[1]2025年已发货'!$H:$H,J3392))</f>
        <v>3</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09" t="str">
        <f>VLOOKUP(B3392,辅助信息!E:J,6,FALSE)</f>
        <v>联系实际收货人（彭江涛13990276572）现场要求炉批号控制2个以下，超2个不给予签收。提前联系到场规格及数量</v>
      </c>
      <c r="O3392" s="62" t="str">
        <f ca="1" t="shared" si="188"/>
        <v/>
      </c>
      <c r="P3392" s="62"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0">
        <v>45911</v>
      </c>
      <c r="D3393" s="40" t="str">
        <f>VLOOKUP(B3393,辅助信息!E:K,7,FALSE)</f>
        <v>JWDDCD2025072900123</v>
      </c>
      <c r="E3393" s="40" t="str">
        <f>VLOOKUP(F3393,辅助信息!A:B,2,FALSE)</f>
        <v>螺纹钢</v>
      </c>
      <c r="F3393" s="40" t="s">
        <v>140</v>
      </c>
      <c r="G3393" s="36">
        <v>14</v>
      </c>
      <c r="H3393" s="134">
        <f>IF(SUMIFS('[1]2025年已发货'!$E:$E,'[1]2025年已发货'!$F:$F,C3393,'[1]2025年已发货'!$C:$C,F3393,'[1]2025年已发货'!$G:$G,I3393,'[1]2025年已发货'!$H:$H,J3393)=0,"未发货",SUMIFS('[1]2025年已发货'!$E:$E,'[1]2025年已发货'!$F:$F,C3393,'[1]2025年已发货'!$C:$C,F3393,'[1]2025年已发货'!$G:$G,I3393,'[1]2025年已发货'!$H:$H,J3393))</f>
        <v>14</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09" t="str">
        <f>VLOOKUP(B3393,辅助信息!E:J,6,FALSE)</f>
        <v>联系实际收货人（彭江涛13990276572）现场要求炉批号控制2个以下，超2个不给予签收。提前联系到场规格及数量</v>
      </c>
      <c r="O3393" s="62" t="str">
        <f ca="1" t="shared" si="188"/>
        <v/>
      </c>
      <c r="P3393" s="62"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0">
        <v>45911</v>
      </c>
      <c r="D3394" s="40" t="str">
        <f>VLOOKUP(B3394,辅助信息!E:K,7,FALSE)</f>
        <v>JWDDCD2025072900123</v>
      </c>
      <c r="E3394" s="40" t="str">
        <f>VLOOKUP(F3394,辅助信息!A:B,2,FALSE)</f>
        <v>螺纹钢</v>
      </c>
      <c r="F3394" s="40" t="s">
        <v>45</v>
      </c>
      <c r="G3394" s="36">
        <v>3</v>
      </c>
      <c r="H3394" s="134">
        <f>IF(SUMIFS('[1]2025年已发货'!$E:$E,'[1]2025年已发货'!$F:$F,C3394,'[1]2025年已发货'!$C:$C,F3394,'[1]2025年已发货'!$G:$G,I3394,'[1]2025年已发货'!$H:$H,J3394)=0,"未发货",SUMIFS('[1]2025年已发货'!$E:$E,'[1]2025年已发货'!$F:$F,C3394,'[1]2025年已发货'!$C:$C,F3394,'[1]2025年已发货'!$G:$G,I3394,'[1]2025年已发货'!$H:$H,J3394))</f>
        <v>3</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09" t="str">
        <f>VLOOKUP(B3394,辅助信息!E:J,6,FALSE)</f>
        <v>联系实际收货人（彭江涛13990276572）现场要求炉批号控制2个以下，超2个不给予签收。提前联系到场规格及数量</v>
      </c>
      <c r="O3394" s="62" t="str">
        <f ca="1" t="shared" si="188"/>
        <v/>
      </c>
      <c r="P3394" s="62"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0">
        <v>45911</v>
      </c>
      <c r="D3395" s="40" t="str">
        <f>VLOOKUP(B3395,辅助信息!E:K,7,FALSE)</f>
        <v>JWDDCD2025072900123</v>
      </c>
      <c r="E3395" s="40" t="str">
        <f>VLOOKUP(F3395,辅助信息!A:B,2,FALSE)</f>
        <v>螺纹钢</v>
      </c>
      <c r="F3395" s="40" t="s">
        <v>197</v>
      </c>
      <c r="G3395" s="36">
        <v>1</v>
      </c>
      <c r="H3395" s="134">
        <f>IF(SUMIFS('[1]2025年已发货'!$E:$E,'[1]2025年已发货'!$F:$F,C3395,'[1]2025年已发货'!$C:$C,F3395,'[1]2025年已发货'!$G:$G,I3395,'[1]2025年已发货'!$H:$H,J3395)=0,"未发货",SUMIFS('[1]2025年已发货'!$E:$E,'[1]2025年已发货'!$F:$F,C3395,'[1]2025年已发货'!$C:$C,F3395,'[1]2025年已发货'!$G:$G,I3395,'[1]2025年已发货'!$H:$H,J3395))</f>
        <v>3</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09" t="str">
        <f>VLOOKUP(B3395,辅助信息!E:J,6,FALSE)</f>
        <v>联系实际收货人（彭江涛13990276572）现场要求炉批号控制2个以下，超2个不给予签收。提前联系到场规格及数量</v>
      </c>
      <c r="O3395" s="62" t="str">
        <f ca="1" t="shared" si="188"/>
        <v/>
      </c>
      <c r="P3395" s="62"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0">
        <v>45911</v>
      </c>
      <c r="D3396" s="40" t="str">
        <f>VLOOKUP(B3396,辅助信息!E:K,7,FALSE)</f>
        <v>JWDDCD2025072900123</v>
      </c>
      <c r="E3396" s="40" t="str">
        <f>VLOOKUP(F3396,辅助信息!A:B,2,FALSE)</f>
        <v>螺纹钢</v>
      </c>
      <c r="F3396" s="40" t="s">
        <v>21</v>
      </c>
      <c r="G3396" s="36">
        <v>3</v>
      </c>
      <c r="H3396" s="134">
        <f>IF(SUMIFS('[1]2025年已发货'!$E:$E,'[1]2025年已发货'!$F:$F,C3396,'[1]2025年已发货'!$C:$C,F3396,'[1]2025年已发货'!$G:$G,I3396,'[1]2025年已发货'!$H:$H,J3396)=0,"未发货",SUMIFS('[1]2025年已发货'!$E:$E,'[1]2025年已发货'!$F:$F,C3396,'[1]2025年已发货'!$C:$C,F3396,'[1]2025年已发货'!$G:$G,I3396,'[1]2025年已发货'!$H:$H,J3396))</f>
        <v>3</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09" t="str">
        <f>VLOOKUP(B3396,辅助信息!E:J,6,FALSE)</f>
        <v>联系实际收货人（彭江涛13990276572）现场要求炉批号控制2个以下，超2个不给予签收。提前联系到场规格及数量</v>
      </c>
      <c r="O3396" s="62" t="str">
        <f ca="1" t="shared" si="188"/>
        <v/>
      </c>
      <c r="P3396" s="62"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0">
        <v>45911</v>
      </c>
      <c r="D3397" s="40" t="str">
        <f>VLOOKUP(B3397,辅助信息!E:K,7,FALSE)</f>
        <v>JWDDCD2025072900123</v>
      </c>
      <c r="E3397" s="40" t="str">
        <f>VLOOKUP(F3397,辅助信息!A:B,2,FALSE)</f>
        <v>螺纹钢</v>
      </c>
      <c r="F3397" s="40" t="s">
        <v>198</v>
      </c>
      <c r="G3397" s="36">
        <v>1</v>
      </c>
      <c r="H3397" s="134">
        <f>IF(SUMIFS('[1]2025年已发货'!$E:$E,'[1]2025年已发货'!$F:$F,C3397,'[1]2025年已发货'!$C:$C,F3397,'[1]2025年已发货'!$G:$G,I3397,'[1]2025年已发货'!$H:$H,J3397)=0,"未发货",SUMIFS('[1]2025年已发货'!$E:$E,'[1]2025年已发货'!$F:$F,C3397,'[1]2025年已发货'!$C:$C,F3397,'[1]2025年已发货'!$G:$G,I3397,'[1]2025年已发货'!$H:$H,J3397))</f>
        <v>3</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09" t="str">
        <f>VLOOKUP(B3397,辅助信息!E:J,6,FALSE)</f>
        <v>联系实际收货人（彭江涛13990276572）现场要求炉批号控制2个以下，超2个不给予签收。提前联系到场规格及数量</v>
      </c>
      <c r="O3397" s="62" t="str">
        <f ca="1" t="shared" si="188"/>
        <v/>
      </c>
      <c r="P3397" s="62"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0">
        <v>45911</v>
      </c>
      <c r="D3398" s="40" t="str">
        <f>VLOOKUP(B3398,辅助信息!E:K,7,FALSE)</f>
        <v>JWDDCD2025072900123</v>
      </c>
      <c r="E3398" s="40" t="str">
        <f>VLOOKUP(F3398,辅助信息!A:B,2,FALSE)</f>
        <v>螺纹钢</v>
      </c>
      <c r="F3398" s="40" t="s">
        <v>58</v>
      </c>
      <c r="G3398" s="36">
        <v>10</v>
      </c>
      <c r="H3398" s="134">
        <f>IF(SUMIFS('[1]2025年已发货'!$E:$E,'[1]2025年已发货'!$F:$F,C3398,'[1]2025年已发货'!$C:$C,F3398,'[1]2025年已发货'!$G:$G,I3398,'[1]2025年已发货'!$H:$H,J3398)=0,"未发货",SUMIFS('[1]2025年已发货'!$E:$E,'[1]2025年已发货'!$F:$F,C3398,'[1]2025年已发货'!$C:$C,F3398,'[1]2025年已发货'!$G:$G,I3398,'[1]2025年已发货'!$H:$H,J3398))</f>
        <v>10</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09" t="str">
        <f>VLOOKUP(B3398,辅助信息!E:J,6,FALSE)</f>
        <v>联系实际收货人（彭江涛13990276572）现场要求炉批号控制2个以下，超2个不给予签收。提前联系到场规格及数量</v>
      </c>
      <c r="O3398" s="62" t="str">
        <f ca="1" t="shared" si="188"/>
        <v/>
      </c>
      <c r="P3398" s="62"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0">
        <v>45911</v>
      </c>
      <c r="D3399" s="40" t="str">
        <f>VLOOKUP(B3399,辅助信息!E:K,7,FALSE)</f>
        <v>JWDDCD2025072900123</v>
      </c>
      <c r="E3399" s="40" t="str">
        <f>VLOOKUP(F3399,辅助信息!A:B,2,FALSE)</f>
        <v>螺纹钢</v>
      </c>
      <c r="F3399" s="40" t="s">
        <v>199</v>
      </c>
      <c r="G3399" s="36">
        <v>18</v>
      </c>
      <c r="H3399" s="134">
        <f>IF(SUMIFS('[1]2025年已发货'!$E:$E,'[1]2025年已发货'!$F:$F,C3399,'[1]2025年已发货'!$C:$C,F3399,'[1]2025年已发货'!$G:$G,I3399,'[1]2025年已发货'!$H:$H,J3399)=0,"未发货",SUMIFS('[1]2025年已发货'!$E:$E,'[1]2025年已发货'!$F:$F,C3399,'[1]2025年已发货'!$C:$C,F3399,'[1]2025年已发货'!$G:$G,I3399,'[1]2025年已发货'!$H:$H,J3399))</f>
        <v>18</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09" t="str">
        <f>VLOOKUP(B3399,辅助信息!E:J,6,FALSE)</f>
        <v>联系实际收货人（彭江涛13990276572）现场要求炉批号控制2个以下，超2个不给予签收。提前联系到场规格及数量</v>
      </c>
      <c r="O3399" s="62" t="str">
        <f ca="1" t="shared" si="188"/>
        <v/>
      </c>
      <c r="P3399" s="62"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0">
        <v>45911</v>
      </c>
      <c r="D3400" s="40" t="str">
        <f>VLOOKUP(B3400,辅助信息!E:K,7,FALSE)</f>
        <v>JWDDCD2025072900123</v>
      </c>
      <c r="E3400" s="40" t="str">
        <f>VLOOKUP(F3400,辅助信息!A:B,2,FALSE)</f>
        <v>螺纹钢</v>
      </c>
      <c r="F3400" s="40" t="s">
        <v>46</v>
      </c>
      <c r="G3400" s="36">
        <v>12</v>
      </c>
      <c r="H3400" s="134">
        <f>IF(SUMIFS('[1]2025年已发货'!$E:$E,'[1]2025年已发货'!$F:$F,C3400,'[1]2025年已发货'!$C:$C,F3400,'[1]2025年已发货'!$G:$G,I3400,'[1]2025年已发货'!$H:$H,J3400)=0,"未发货",SUMIFS('[1]2025年已发货'!$E:$E,'[1]2025年已发货'!$F:$F,C3400,'[1]2025年已发货'!$C:$C,F3400,'[1]2025年已发货'!$G:$G,I3400,'[1]2025年已发货'!$H:$H,J3400))</f>
        <v>12</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09" t="str">
        <f>VLOOKUP(B3400,辅助信息!E:J,6,FALSE)</f>
        <v>联系实际收货人（彭江涛13990276572）现场要求炉批号控制2个以下，超2个不给予签收。提前联系到场规格及数量</v>
      </c>
      <c r="O3400" s="62" t="str">
        <f ca="1" t="shared" si="188"/>
        <v/>
      </c>
      <c r="P3400" s="62"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0">
        <v>45911</v>
      </c>
      <c r="D3401" s="40" t="str">
        <f>VLOOKUP(B3401,辅助信息!E:K,7,FALSE)</f>
        <v>JWDDCD2025072900123</v>
      </c>
      <c r="E3401" s="40" t="str">
        <f>VLOOKUP(F3401,辅助信息!A:B,2,FALSE)</f>
        <v>螺纹钢</v>
      </c>
      <c r="F3401" s="40" t="s">
        <v>141</v>
      </c>
      <c r="G3401" s="36">
        <v>25</v>
      </c>
      <c r="H3401" s="134">
        <f>IF(SUMIFS('[1]2025年已发货'!$E:$E,'[1]2025年已发货'!$F:$F,C3401,'[1]2025年已发货'!$C:$C,F3401,'[1]2025年已发货'!$G:$G,I3401,'[1]2025年已发货'!$H:$H,J3401)=0,"未发货",SUMIFS('[1]2025年已发货'!$E:$E,'[1]2025年已发货'!$F:$F,C3401,'[1]2025年已发货'!$C:$C,F3401,'[1]2025年已发货'!$G:$G,I3401,'[1]2025年已发货'!$H:$H,J3401))</f>
        <v>25</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09" t="str">
        <f>VLOOKUP(B3401,辅助信息!E:J,6,FALSE)</f>
        <v>联系实际收货人（彭江涛13990276572）现场要求炉批号控制2个以下，超2个不给予签收。提前联系到场规格及数量</v>
      </c>
      <c r="O3401" s="62" t="str">
        <f ca="1" t="shared" si="188"/>
        <v/>
      </c>
      <c r="P3401" s="62"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0">
        <v>45911</v>
      </c>
      <c r="D3402" s="40" t="str">
        <f>VLOOKUP(B3402,辅助信息!E:K,7,FALSE)</f>
        <v>JWDDCD2025072900123</v>
      </c>
      <c r="E3402" s="40" t="str">
        <f>VLOOKUP(F3402,辅助信息!A:B,2,FALSE)</f>
        <v>螺纹钢</v>
      </c>
      <c r="F3402" s="40" t="s">
        <v>22</v>
      </c>
      <c r="G3402" s="36">
        <v>72</v>
      </c>
      <c r="H3402" s="134">
        <f>IF(SUMIFS('[1]2025年已发货'!$E:$E,'[1]2025年已发货'!$F:$F,C3402,'[1]2025年已发货'!$C:$C,F3402,'[1]2025年已发货'!$G:$G,I3402,'[1]2025年已发货'!$H:$H,J3402)=0,"未发货",SUMIFS('[1]2025年已发货'!$E:$E,'[1]2025年已发货'!$F:$F,C3402,'[1]2025年已发货'!$C:$C,F3402,'[1]2025年已发货'!$G:$G,I3402,'[1]2025年已发货'!$H:$H,J3402))</f>
        <v>72</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09" t="str">
        <f>VLOOKUP(B3402,辅助信息!E:J,6,FALSE)</f>
        <v>联系实际收货人（彭江涛13990276572）现场要求炉批号控制2个以下，超2个不给予签收。提前联系到场规格及数量</v>
      </c>
      <c r="O3402" s="62" t="str">
        <f ca="1" t="shared" si="188"/>
        <v/>
      </c>
      <c r="P3402" s="62"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0">
        <v>45911</v>
      </c>
      <c r="D3403" s="40" t="str">
        <f>VLOOKUP(B3403,辅助信息!E:K,7,FALSE)</f>
        <v>JWDDCD2025072900123</v>
      </c>
      <c r="E3403" s="40" t="str">
        <f>VLOOKUP(F3403,辅助信息!A:B,2,FALSE)</f>
        <v>螺纹钢</v>
      </c>
      <c r="F3403" s="40" t="s">
        <v>142</v>
      </c>
      <c r="G3403" s="36">
        <v>111</v>
      </c>
      <c r="H3403" s="134">
        <f>IF(SUMIFS('[1]2025年已发货'!$E:$E,'[1]2025年已发货'!$F:$F,C3403,'[1]2025年已发货'!$C:$C,F3403,'[1]2025年已发货'!$G:$G,I3403,'[1]2025年已发货'!$H:$H,J3403)=0,"未发货",SUMIFS('[1]2025年已发货'!$E:$E,'[1]2025年已发货'!$F:$F,C3403,'[1]2025年已发货'!$C:$C,F3403,'[1]2025年已发货'!$G:$G,I3403,'[1]2025年已发货'!$H:$H,J3403))</f>
        <v>100</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09" t="str">
        <f>VLOOKUP(B3403,辅助信息!E:J,6,FALSE)</f>
        <v>联系实际收货人（彭江涛13990276572）现场要求炉批号控制2个以下，超2个不给予签收。提前联系到场规格及数量</v>
      </c>
      <c r="O3403" s="62" t="str">
        <f ca="1" t="shared" si="188"/>
        <v/>
      </c>
      <c r="P3403" s="62"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0">
        <v>45911</v>
      </c>
      <c r="D3404" s="40" t="str">
        <f>VLOOKUP(B3404,辅助信息!E:K,7,FALSE)</f>
        <v>JWDDCD2025072900123</v>
      </c>
      <c r="E3404" s="40" t="str">
        <f>VLOOKUP(F3404,辅助信息!A:B,2,FALSE)</f>
        <v>螺纹钢</v>
      </c>
      <c r="F3404" s="40" t="s">
        <v>201</v>
      </c>
      <c r="G3404" s="36">
        <v>22</v>
      </c>
      <c r="H3404" s="134">
        <f>IF(SUMIFS('[1]2025年已发货'!$E:$E,'[1]2025年已发货'!$F:$F,C3404,'[1]2025年已发货'!$C:$C,F3404,'[1]2025年已发货'!$G:$G,I3404,'[1]2025年已发货'!$H:$H,J3404)=0,"未发货",SUMIFS('[1]2025年已发货'!$E:$E,'[1]2025年已发货'!$F:$F,C3404,'[1]2025年已发货'!$C:$C,F3404,'[1]2025年已发货'!$G:$G,I3404,'[1]2025年已发货'!$H:$H,J3404))</f>
        <v>22</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09" t="str">
        <f>VLOOKUP(B3404,辅助信息!E:J,6,FALSE)</f>
        <v>联系实际收货人（彭江涛13990276572）现场要求炉批号控制2个以下，超2个不给予签收。提前联系到场规格及数量</v>
      </c>
      <c r="O3404" s="62" t="str">
        <f ca="1" t="shared" si="188"/>
        <v/>
      </c>
      <c r="P3404" s="62"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0">
        <v>45911</v>
      </c>
      <c r="D3405" s="40" t="str">
        <f>VLOOKUP(B3405,辅助信息!E:K,7,FALSE)</f>
        <v>JWDDCD2025072900123</v>
      </c>
      <c r="E3405" s="40" t="str">
        <f>VLOOKUP(F3405,辅助信息!A:B,2,FALSE)</f>
        <v>盘螺</v>
      </c>
      <c r="F3405" s="40" t="s">
        <v>41</v>
      </c>
      <c r="G3405" s="36">
        <v>36</v>
      </c>
      <c r="H3405" s="134">
        <f>IF(SUMIFS('[1]2025年已发货'!$E:$E,'[1]2025年已发货'!$F:$F,C3405,'[1]2025年已发货'!$C:$C,F3405,'[1]2025年已发货'!$G:$G,I3405,'[1]2025年已发货'!$H:$H,J3405)=0,"未发货",SUMIFS('[1]2025年已发货'!$E:$E,'[1]2025年已发货'!$F:$F,C3405,'[1]2025年已发货'!$C:$C,F3405,'[1]2025年已发货'!$G:$G,I3405,'[1]2025年已发货'!$H:$H,J3405))</f>
        <v>20</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09" t="str">
        <f>VLOOKUP(B3405,辅助信息!E:J,6,FALSE)</f>
        <v>联系实际收货人（彭江涛13990276572）现场要求炉批号控制2个以下，超2个不给予签收。提前联系到场规格及数量</v>
      </c>
      <c r="O3405" s="62" t="str">
        <f ca="1" t="shared" si="188"/>
        <v/>
      </c>
      <c r="P3405" s="62"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0">
        <v>45911</v>
      </c>
      <c r="D3406" s="40" t="str">
        <f>VLOOKUP(B3406,辅助信息!E:K,7,FALSE)</f>
        <v>JWDDCD2025072900123</v>
      </c>
      <c r="E3406" s="40" t="str">
        <f>VLOOKUP(F3406,辅助信息!A:B,2,FALSE)</f>
        <v>盘螺</v>
      </c>
      <c r="F3406" s="40" t="s">
        <v>26</v>
      </c>
      <c r="G3406" s="36">
        <v>65.4</v>
      </c>
      <c r="H3406" s="134"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09" t="str">
        <f>VLOOKUP(B3406,辅助信息!E:J,6,FALSE)</f>
        <v>联系实际收货人（彭江涛13990276572）现场要求炉批号控制2个以下，超2个不给予签收。提前联系到场规格及数量</v>
      </c>
      <c r="O3406" s="62" t="str">
        <f ca="1" t="shared" si="188"/>
        <v/>
      </c>
      <c r="P3406" s="62"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0">
        <v>45911</v>
      </c>
      <c r="D3407" s="40" t="str">
        <f>VLOOKUP(B3407,辅助信息!E:K,7,FALSE)</f>
        <v>JWDDCD2025072900123</v>
      </c>
      <c r="E3407" s="40" t="str">
        <f>VLOOKUP(F3407,辅助信息!A:B,2,FALSE)</f>
        <v>盘螺</v>
      </c>
      <c r="F3407" s="40" t="s">
        <v>49</v>
      </c>
      <c r="G3407" s="36">
        <v>16</v>
      </c>
      <c r="H3407" s="134">
        <f>IF(SUMIFS('[1]2025年已发货'!$E:$E,'[1]2025年已发货'!$F:$F,C3407,'[1]2025年已发货'!$C:$C,F3407,'[1]2025年已发货'!$G:$G,I3407,'[1]2025年已发货'!$H:$H,J3407)=0,"未发货",SUMIFS('[1]2025年已发货'!$E:$E,'[1]2025年已发货'!$F:$F,C3407,'[1]2025年已发货'!$C:$C,F3407,'[1]2025年已发货'!$G:$G,I3407,'[1]2025年已发货'!$H:$H,J3407))</f>
        <v>16</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09" t="str">
        <f>VLOOKUP(B3407,辅助信息!E:J,6,FALSE)</f>
        <v>联系实际收货人（彭江涛13990276572）现场要求炉批号控制2个以下，超2个不给予签收。提前联系到场规格及数量</v>
      </c>
      <c r="O3407" s="62" t="str">
        <f ca="1" t="shared" si="188"/>
        <v/>
      </c>
      <c r="P3407" s="62"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0">
        <v>45911</v>
      </c>
      <c r="D3408" s="40" t="str">
        <f>VLOOKUP(B3408,辅助信息!E:K,7,FALSE)</f>
        <v>JWDDCD2025072900123</v>
      </c>
      <c r="E3408" s="40" t="str">
        <f>VLOOKUP(F3408,辅助信息!A:B,2,FALSE)</f>
        <v>盘螺</v>
      </c>
      <c r="F3408" s="40" t="s">
        <v>40</v>
      </c>
      <c r="G3408" s="36">
        <v>26</v>
      </c>
      <c r="H3408" s="134">
        <f>IF(SUMIFS('[1]2025年已发货'!$E:$E,'[1]2025年已发货'!$F:$F,C3408,'[1]2025年已发货'!$C:$C,F3408,'[1]2025年已发货'!$G:$G,I3408,'[1]2025年已发货'!$H:$H,J3408)=0,"未发货",SUMIFS('[1]2025年已发货'!$E:$E,'[1]2025年已发货'!$F:$F,C3408,'[1]2025年已发货'!$C:$C,F3408,'[1]2025年已发货'!$G:$G,I3408,'[1]2025年已发货'!$H:$H,J3408))</f>
        <v>26</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09" t="str">
        <f>VLOOKUP(B3408,辅助信息!E:J,6,FALSE)</f>
        <v>联系实际收货人（彭江涛13990276572）现场要求炉批号控制2个以下，超2个不给予签收。提前联系到场规格及数量</v>
      </c>
      <c r="O3408" s="62" t="str">
        <f ca="1" t="shared" si="188"/>
        <v/>
      </c>
      <c r="P3408" s="62"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0" t="s">
        <v>186</v>
      </c>
      <c r="C3409" s="70">
        <v>45912</v>
      </c>
      <c r="D3409" s="40" t="str">
        <f>VLOOKUP(B3409,辅助信息!E:K,7,FALSE)</f>
        <v>JWDDCD2025072900123</v>
      </c>
      <c r="E3409" s="40" t="str">
        <f>VLOOKUP(F3409,辅助信息!A:B,2,FALSE)</f>
        <v>高线</v>
      </c>
      <c r="F3409" s="40" t="s">
        <v>57</v>
      </c>
      <c r="G3409" s="36">
        <v>8</v>
      </c>
      <c r="H3409" s="134"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09" t="str">
        <f>VLOOKUP(B3409,辅助信息!E:J,6,FALSE)</f>
        <v>联系实际收货人（彭江涛13990276572）现场要求炉批号控制2个以下，超2个不给予签收。提前联系到场规格及数量</v>
      </c>
      <c r="O3409" s="62" t="str">
        <f ca="1" t="shared" si="188"/>
        <v/>
      </c>
      <c r="P3409" s="62"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0" t="s">
        <v>186</v>
      </c>
      <c r="C3410" s="70">
        <v>45912</v>
      </c>
      <c r="D3410" s="40" t="str">
        <f>VLOOKUP(B3410,辅助信息!E:K,7,FALSE)</f>
        <v>JWDDCD2025072900123</v>
      </c>
      <c r="E3410" s="40" t="str">
        <f>VLOOKUP(F3410,辅助信息!A:B,2,FALSE)</f>
        <v>螺纹钢</v>
      </c>
      <c r="F3410" s="40" t="s">
        <v>205</v>
      </c>
      <c r="G3410" s="36">
        <v>12</v>
      </c>
      <c r="H3410" s="134"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09" t="str">
        <f>VLOOKUP(B3410,辅助信息!E:J,6,FALSE)</f>
        <v>联系实际收货人（彭江涛13990276572）现场要求炉批号控制2个以下，超2个不给予签收。提前联系到场规格及数量</v>
      </c>
      <c r="O3410" s="62" t="str">
        <f ca="1" t="shared" si="188"/>
        <v/>
      </c>
      <c r="P3410" s="62"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0" t="s">
        <v>186</v>
      </c>
      <c r="C3411" s="70">
        <v>45912</v>
      </c>
      <c r="D3411" s="40" t="str">
        <f>VLOOKUP(B3411,辅助信息!E:K,7,FALSE)</f>
        <v>JWDDCD2025072900123</v>
      </c>
      <c r="E3411" s="40" t="str">
        <f>VLOOKUP(F3411,辅助信息!A:B,2,FALSE)</f>
        <v>螺纹钢</v>
      </c>
      <c r="F3411" s="40" t="s">
        <v>142</v>
      </c>
      <c r="G3411" s="36">
        <v>11</v>
      </c>
      <c r="H3411" s="134">
        <f>IF(SUMIFS('[1]2025年已发货'!$E:$E,'[1]2025年已发货'!$F:$F,C3411,'[1]2025年已发货'!$C:$C,F3411,'[1]2025年已发货'!$G:$G,I3411,'[1]2025年已发货'!$H:$H,J3411)=0,"未发货",SUMIFS('[1]2025年已发货'!$E:$E,'[1]2025年已发货'!$F:$F,C3411,'[1]2025年已发货'!$C:$C,F3411,'[1]2025年已发货'!$G:$G,I3411,'[1]2025年已发货'!$H:$H,J3411))</f>
        <v>11</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09" t="str">
        <f>VLOOKUP(B3411,辅助信息!E:J,6,FALSE)</f>
        <v>联系实际收货人（彭江涛13990276572）现场要求炉批号控制2个以下，超2个不给予签收。提前联系到场规格及数量</v>
      </c>
      <c r="O3411" s="62" t="str">
        <f ca="1" t="shared" si="188"/>
        <v/>
      </c>
      <c r="P3411" s="62"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0" t="s">
        <v>186</v>
      </c>
      <c r="C3412" s="70">
        <v>45912</v>
      </c>
      <c r="D3412" s="40" t="str">
        <f>VLOOKUP(B3412,辅助信息!E:K,7,FALSE)</f>
        <v>JWDDCD2025072900123</v>
      </c>
      <c r="E3412" s="40" t="str">
        <f>VLOOKUP(F3412,辅助信息!A:B,2,FALSE)</f>
        <v>盘螺</v>
      </c>
      <c r="F3412" s="40" t="s">
        <v>41</v>
      </c>
      <c r="G3412" s="36">
        <v>16</v>
      </c>
      <c r="H3412" s="134"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09" t="str">
        <f>VLOOKUP(B3412,辅助信息!E:J,6,FALSE)</f>
        <v>联系实际收货人（彭江涛13990276572）现场要求炉批号控制2个以下，超2个不给予签收。提前联系到场规格及数量</v>
      </c>
      <c r="O3412" s="62" t="str">
        <f ca="1" t="shared" si="188"/>
        <v/>
      </c>
      <c r="P3412" s="62"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0" t="s">
        <v>186</v>
      </c>
      <c r="C3413" s="70">
        <v>45912</v>
      </c>
      <c r="D3413" s="40" t="str">
        <f>VLOOKUP(B3413,辅助信息!E:K,7,FALSE)</f>
        <v>JWDDCD2025072900123</v>
      </c>
      <c r="E3413" s="40" t="str">
        <f>VLOOKUP(F3413,辅助信息!A:B,2,FALSE)</f>
        <v>盘螺</v>
      </c>
      <c r="F3413" s="40" t="s">
        <v>26</v>
      </c>
      <c r="G3413" s="36">
        <v>65.4</v>
      </c>
      <c r="H3413" s="134">
        <f>IF(SUMIFS('[1]2025年已发货'!$E:$E,'[1]2025年已发货'!$F:$F,C3413,'[1]2025年已发货'!$C:$C,F3413,'[1]2025年已发货'!$G:$G,I3413,'[1]2025年已发货'!$H:$H,J3413)=0,"未发货",SUMIFS('[1]2025年已发货'!$E:$E,'[1]2025年已发货'!$F:$F,C3413,'[1]2025年已发货'!$C:$C,F3413,'[1]2025年已发货'!$G:$G,I3413,'[1]2025年已发货'!$H:$H,J3413))</f>
        <v>57.5</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09" t="str">
        <f>VLOOKUP(B3413,辅助信息!E:J,6,FALSE)</f>
        <v>联系实际收货人（彭江涛13990276572）现场要求炉批号控制2个以下，超2个不给予签收。提前联系到场规格及数量</v>
      </c>
      <c r="O3413" s="62" t="str">
        <f ca="1" t="shared" si="188"/>
        <v/>
      </c>
      <c r="P3413" s="62"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1" t="s">
        <v>218</v>
      </c>
      <c r="B3414" s="40" t="s">
        <v>203</v>
      </c>
      <c r="C3414" s="70">
        <v>45912</v>
      </c>
      <c r="D3414" s="40" t="str">
        <f>VLOOKUP(B3414,辅助信息!E:K,7,FALSE)</f>
        <v>JWDDCD2025102100479</v>
      </c>
      <c r="E3414" s="40" t="str">
        <f>VLOOKUP(F3414,辅助信息!A:B,2,FALSE)</f>
        <v>螺纹钢</v>
      </c>
      <c r="F3414" s="40" t="s">
        <v>27</v>
      </c>
      <c r="G3414" s="36">
        <v>10</v>
      </c>
      <c r="H3414" s="134"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09"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2" t="str">
        <f ca="1" t="shared" si="188"/>
        <v/>
      </c>
      <c r="P3414" s="62"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1"/>
      <c r="B3415" s="40" t="s">
        <v>203</v>
      </c>
      <c r="C3415" s="70">
        <v>45912</v>
      </c>
      <c r="D3415" s="40" t="str">
        <f>VLOOKUP(B3415,辅助信息!E:K,7,FALSE)</f>
        <v>JWDDCD2025102100479</v>
      </c>
      <c r="E3415" s="40" t="str">
        <f>VLOOKUP(F3415,辅助信息!A:B,2,FALSE)</f>
        <v>螺纹钢</v>
      </c>
      <c r="F3415" s="40" t="s">
        <v>19</v>
      </c>
      <c r="G3415" s="36">
        <v>25</v>
      </c>
      <c r="H3415" s="134"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09"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2" t="str">
        <f ca="1" t="shared" si="188"/>
        <v/>
      </c>
      <c r="P3415" s="62"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0">
        <v>45915</v>
      </c>
      <c r="D3416" s="40" t="str">
        <f>VLOOKUP(B3416,辅助信息!E:K,7,FALSE)</f>
        <v>JWDDCD2025052800131</v>
      </c>
      <c r="E3416" s="40" t="str">
        <f>VLOOKUP(F3416,辅助信息!A:B,2,FALSE)</f>
        <v>螺纹钢</v>
      </c>
      <c r="F3416" s="40" t="s">
        <v>27</v>
      </c>
      <c r="G3416" s="36">
        <v>6</v>
      </c>
      <c r="H3416" s="134"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09" t="str">
        <f>VLOOKUP(B3416,辅助信息!E:J,6,FALSE)</f>
        <v>控制炉批号！多了现场不收！,优先安排达钢,提前联系到场规格及数量</v>
      </c>
      <c r="O3416" s="62" t="str">
        <f ca="1" t="shared" si="188"/>
        <v/>
      </c>
      <c r="P3416" s="62"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0">
        <v>45915</v>
      </c>
      <c r="D3417" s="40" t="str">
        <f>VLOOKUP(B3417,辅助信息!E:K,7,FALSE)</f>
        <v>JWDDCD2025052800131</v>
      </c>
      <c r="E3417" s="40" t="str">
        <f>VLOOKUP(F3417,辅助信息!A:B,2,FALSE)</f>
        <v>螺纹钢</v>
      </c>
      <c r="F3417" s="40" t="s">
        <v>45</v>
      </c>
      <c r="G3417" s="36">
        <v>6</v>
      </c>
      <c r="H3417" s="134"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09" t="str">
        <f>VLOOKUP(B3417,辅助信息!E:J,6,FALSE)</f>
        <v>控制炉批号！多了现场不收！,优先安排达钢,提前联系到场规格及数量</v>
      </c>
      <c r="O3417" s="62" t="str">
        <f ca="1" t="shared" si="188"/>
        <v/>
      </c>
      <c r="P3417" s="62"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0">
        <v>45915</v>
      </c>
      <c r="D3418" s="40" t="str">
        <f>VLOOKUP(B3418,辅助信息!E:K,7,FALSE)</f>
        <v>JWDDCD2025052800131</v>
      </c>
      <c r="E3418" s="40" t="str">
        <f>VLOOKUP(F3418,辅助信息!A:B,2,FALSE)</f>
        <v>螺纹钢</v>
      </c>
      <c r="F3418" s="40" t="s">
        <v>21</v>
      </c>
      <c r="G3418" s="36">
        <v>12</v>
      </c>
      <c r="H3418" s="134"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09" t="str">
        <f>VLOOKUP(B3418,辅助信息!E:J,6,FALSE)</f>
        <v>控制炉批号！多了现场不收！,优先安排达钢,提前联系到场规格及数量</v>
      </c>
      <c r="O3418" s="62" t="str">
        <f ca="1" t="shared" si="188"/>
        <v/>
      </c>
      <c r="P3418" s="62"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0">
        <v>45915</v>
      </c>
      <c r="D3419" s="40" t="str">
        <f>VLOOKUP(B3419,辅助信息!E:K,7,FALSE)</f>
        <v>JWDDCD2025052800131</v>
      </c>
      <c r="E3419" s="40" t="str">
        <f>VLOOKUP(F3419,辅助信息!A:B,2,FALSE)</f>
        <v>螺纹钢</v>
      </c>
      <c r="F3419" s="40" t="s">
        <v>58</v>
      </c>
      <c r="G3419" s="36">
        <v>9</v>
      </c>
      <c r="H3419" s="134"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09" t="str">
        <f>VLOOKUP(B3419,辅助信息!E:J,6,FALSE)</f>
        <v>控制炉批号！多了现场不收！,优先安排达钢,提前联系到场规格及数量</v>
      </c>
      <c r="O3419" s="62" t="str">
        <f ca="1" t="shared" si="188"/>
        <v/>
      </c>
      <c r="P3419" s="62"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0">
        <v>45915</v>
      </c>
      <c r="D3420" s="40" t="str">
        <f>VLOOKUP(B3420,辅助信息!E:K,7,FALSE)</f>
        <v>JWDDCD2025052800131</v>
      </c>
      <c r="E3420" s="40" t="str">
        <f>VLOOKUP(F3420,辅助信息!A:B,2,FALSE)</f>
        <v>螺纹钢</v>
      </c>
      <c r="F3420" s="40" t="s">
        <v>46</v>
      </c>
      <c r="G3420" s="36">
        <v>15</v>
      </c>
      <c r="H3420" s="134"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09" t="str">
        <f>VLOOKUP(B3420,辅助信息!E:J,6,FALSE)</f>
        <v>控制炉批号！多了现场不收！,优先安排达钢,提前联系到场规格及数量</v>
      </c>
      <c r="O3420" s="62" t="str">
        <f ca="1" t="shared" si="188"/>
        <v/>
      </c>
      <c r="P3420" s="62"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0">
        <v>45915</v>
      </c>
      <c r="D3421" s="40" t="str">
        <f>VLOOKUP(B3421,辅助信息!E:K,7,FALSE)</f>
        <v>JWDDCD2025052800131</v>
      </c>
      <c r="E3421" s="40" t="str">
        <f>VLOOKUP(F3421,辅助信息!A:B,2,FALSE)</f>
        <v>螺纹钢</v>
      </c>
      <c r="F3421" s="40" t="s">
        <v>22</v>
      </c>
      <c r="G3421" s="36">
        <v>21</v>
      </c>
      <c r="H3421" s="134"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09" t="str">
        <f>VLOOKUP(B3421,辅助信息!E:J,6,FALSE)</f>
        <v>控制炉批号！多了现场不收！,优先安排达钢,提前联系到场规格及数量</v>
      </c>
      <c r="O3421" s="62" t="str">
        <f ca="1" t="shared" si="188"/>
        <v/>
      </c>
      <c r="P3421" s="62"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0">
        <v>45915</v>
      </c>
      <c r="D3422" s="40" t="str">
        <f>VLOOKUP(B3422,辅助信息!E:K,7,FALSE)</f>
        <v>JWDDCD2025072900123</v>
      </c>
      <c r="E3422" s="40" t="str">
        <f>VLOOKUP(F3422,辅助信息!A:B,2,FALSE)</f>
        <v>螺纹钢</v>
      </c>
      <c r="F3422" s="40" t="s">
        <v>111</v>
      </c>
      <c r="G3422" s="36">
        <v>35</v>
      </c>
      <c r="H3422" s="134">
        <f>IF(SUMIFS('[1]2025年已发货'!$E:$E,'[1]2025年已发货'!$F:$F,C3422,'[1]2025年已发货'!$C:$C,F3422,'[1]2025年已发货'!$G:$G,I3422,'[1]2025年已发货'!$H:$H,J3422)=0,"未发货",SUMIFS('[1]2025年已发货'!$E:$E,'[1]2025年已发货'!$F:$F,C3422,'[1]2025年已发货'!$C:$C,F3422,'[1]2025年已发货'!$G:$G,I3422,'[1]2025年已发货'!$H:$H,J3422))</f>
        <v>35</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09" t="str">
        <f>VLOOKUP(B3422,辅助信息!E:J,6,FALSE)</f>
        <v>联系实际收货人（彭江涛13990276572）现场要求炉批号控制2个以下，超2个不给予签收。提前联系到场规格及数量</v>
      </c>
      <c r="O3422" s="62" t="str">
        <f ca="1" t="shared" si="188"/>
        <v/>
      </c>
      <c r="P3422" s="62"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0">
        <v>45915</v>
      </c>
      <c r="D3423" s="40" t="str">
        <f>VLOOKUP(B3423,辅助信息!E:K,7,FALSE)</f>
        <v>JWDDCD2025072900123</v>
      </c>
      <c r="E3423" s="40" t="str">
        <f>VLOOKUP(F3423,辅助信息!A:B,2,FALSE)</f>
        <v>螺纹钢</v>
      </c>
      <c r="F3423" s="40" t="s">
        <v>142</v>
      </c>
      <c r="G3423" s="36">
        <v>35</v>
      </c>
      <c r="H3423" s="134">
        <f>IF(SUMIFS('[1]2025年已发货'!$E:$E,'[1]2025年已发货'!$F:$F,C3423,'[1]2025年已发货'!$C:$C,F3423,'[1]2025年已发货'!$G:$G,I3423,'[1]2025年已发货'!$H:$H,J3423)=0,"未发货",SUMIFS('[1]2025年已发货'!$E:$E,'[1]2025年已发货'!$F:$F,C3423,'[1]2025年已发货'!$C:$C,F3423,'[1]2025年已发货'!$G:$G,I3423,'[1]2025年已发货'!$H:$H,J3423))</f>
        <v>35</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09" t="str">
        <f>VLOOKUP(B3423,辅助信息!E:J,6,FALSE)</f>
        <v>联系实际收货人（彭江涛13990276572）现场要求炉批号控制2个以下，超2个不给予签收。提前联系到场规格及数量</v>
      </c>
      <c r="O3423" s="62" t="str">
        <f ca="1" t="shared" si="188"/>
        <v/>
      </c>
      <c r="P3423" s="62"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0">
        <v>45915</v>
      </c>
      <c r="D3424" s="40" t="str">
        <f>VLOOKUP(B3424,辅助信息!E:K,7,FALSE)</f>
        <v>JWDDCD2025102100480</v>
      </c>
      <c r="E3424" s="40" t="str">
        <f>VLOOKUP(F3424,辅助信息!A:B,2,FALSE)</f>
        <v>高线</v>
      </c>
      <c r="F3424" s="40" t="s">
        <v>61</v>
      </c>
      <c r="G3424" s="36">
        <v>5</v>
      </c>
      <c r="H3424" s="134"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09" t="str">
        <f>VLOOKUP(B3424,辅助信息!E:J,6,FALSE)</f>
        <v>联系实际收货人（陶杰13980247952）五冶建设送货单,6份材质书,锈货不收，装货前联系收货人核实到场规格,没提前告知进场规格现场不给予接收</v>
      </c>
      <c r="O3424" s="62" t="str">
        <f ca="1" t="shared" ref="O3424:O3487" si="190">IF(OR(M3424="",N3424&lt;&gt;""),"",MAX(M3424-TODAY(),0))</f>
        <v/>
      </c>
      <c r="P3424" s="62"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0">
        <v>45915</v>
      </c>
      <c r="D3425" s="40" t="str">
        <f>VLOOKUP(B3425,辅助信息!E:K,7,FALSE)</f>
        <v>JWDDCD2025102100480</v>
      </c>
      <c r="E3425" s="40" t="str">
        <f>VLOOKUP(F3425,辅助信息!A:B,2,FALSE)</f>
        <v>螺纹钢</v>
      </c>
      <c r="F3425" s="40" t="s">
        <v>30</v>
      </c>
      <c r="G3425" s="36">
        <v>7.5</v>
      </c>
      <c r="H3425" s="134"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09" t="str">
        <f>VLOOKUP(B3425,辅助信息!E:J,6,FALSE)</f>
        <v>联系实际收货人（陶杰13980247952）五冶建设送货单,6份材质书,锈货不收，装货前联系收货人核实到场规格,没提前告知进场规格现场不给予接收</v>
      </c>
      <c r="O3425" s="62" t="str">
        <f ca="1" t="shared" si="190"/>
        <v/>
      </c>
      <c r="P3425" s="62"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0">
        <v>45915</v>
      </c>
      <c r="D3426" s="40" t="str">
        <f>VLOOKUP(B3426,辅助信息!E:K,7,FALSE)</f>
        <v>JWDDCD2025102100480</v>
      </c>
      <c r="E3426" s="40" t="str">
        <f>VLOOKUP(F3426,辅助信息!A:B,2,FALSE)</f>
        <v>螺纹钢</v>
      </c>
      <c r="F3426" s="40" t="s">
        <v>28</v>
      </c>
      <c r="G3426" s="36">
        <v>23.5</v>
      </c>
      <c r="H3426" s="134"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09" t="str">
        <f>VLOOKUP(B3426,辅助信息!E:J,6,FALSE)</f>
        <v>联系实际收货人（陶杰13980247952）五冶建设送货单,6份材质书,锈货不收，装货前联系收货人核实到场规格,没提前告知进场规格现场不给予接收</v>
      </c>
      <c r="O3426" s="62" t="str">
        <f ca="1" t="shared" si="190"/>
        <v/>
      </c>
      <c r="P3426" s="62"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1" t="s">
        <v>219</v>
      </c>
      <c r="B3427" s="40" t="s">
        <v>169</v>
      </c>
      <c r="C3427" s="70">
        <v>45915</v>
      </c>
      <c r="D3427" s="40" t="str">
        <f>VLOOKUP(B3427,辅助信息!E:K,7,FALSE)</f>
        <v>JWDDCD2025051800044</v>
      </c>
      <c r="E3427" s="40" t="str">
        <f>VLOOKUP(F3427,辅助信息!A:B,2,FALSE)</f>
        <v>高线</v>
      </c>
      <c r="F3427" s="40" t="s">
        <v>51</v>
      </c>
      <c r="G3427" s="36">
        <v>32</v>
      </c>
      <c r="H3427" s="134">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7"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2" t="str">
        <f ca="1" t="shared" si="190"/>
        <v/>
      </c>
      <c r="P3427" s="62"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1"/>
      <c r="B3428" s="40" t="s">
        <v>169</v>
      </c>
      <c r="C3428" s="70">
        <v>45915</v>
      </c>
      <c r="D3428" s="40" t="str">
        <f>VLOOKUP(B3428,辅助信息!E:K,7,FALSE)</f>
        <v>JWDDCD2025051800044</v>
      </c>
      <c r="E3428" s="40" t="str">
        <f>VLOOKUP(F3428,辅助信息!A:B,2,FALSE)</f>
        <v>螺纹钢</v>
      </c>
      <c r="F3428" s="40" t="s">
        <v>28</v>
      </c>
      <c r="G3428" s="36">
        <v>64</v>
      </c>
      <c r="H3428" s="134">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7"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2" t="str">
        <f ca="1" t="shared" si="190"/>
        <v/>
      </c>
      <c r="P3428" s="62"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0">
        <v>45915</v>
      </c>
      <c r="D3429" s="40" t="str">
        <f>VLOOKUP(B3429,辅助信息!E:K,7,FALSE)</f>
        <v>JWDDCD2025072900123</v>
      </c>
      <c r="E3429" s="40" t="str">
        <f>VLOOKUP(F3429,辅助信息!A:B,2,FALSE)</f>
        <v>高线</v>
      </c>
      <c r="F3429" s="40" t="s">
        <v>53</v>
      </c>
      <c r="G3429" s="36">
        <v>10</v>
      </c>
      <c r="H3429" s="134"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09" t="str">
        <f>VLOOKUP(B3429,辅助信息!E:J,6,FALSE)</f>
        <v>联系实际收货人（彭江涛13990276572）现场要求炉批号控制2个以下，超2个不给予签收。提前联系到场规格及数量</v>
      </c>
      <c r="O3429" s="62" t="str">
        <f ca="1" t="shared" si="190"/>
        <v/>
      </c>
      <c r="P3429" s="62"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0">
        <v>45915</v>
      </c>
      <c r="D3430" s="40" t="str">
        <f>VLOOKUP(B3430,辅助信息!E:K,7,FALSE)</f>
        <v>JWDDCD2025072900123</v>
      </c>
      <c r="E3430" s="40" t="str">
        <f>VLOOKUP(F3430,辅助信息!A:B,2,FALSE)</f>
        <v>盘螺</v>
      </c>
      <c r="F3430" s="40" t="s">
        <v>49</v>
      </c>
      <c r="G3430" s="36">
        <v>5</v>
      </c>
      <c r="H3430" s="134"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09" t="str">
        <f>VLOOKUP(B3430,辅助信息!E:J,6,FALSE)</f>
        <v>联系实际收货人（彭江涛13990276572）现场要求炉批号控制2个以下，超2个不给予签收。提前联系到场规格及数量</v>
      </c>
      <c r="O3430" s="62" t="str">
        <f ca="1" t="shared" si="190"/>
        <v/>
      </c>
      <c r="P3430" s="62"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0">
        <v>45915</v>
      </c>
      <c r="D3431" s="40" t="str">
        <f>VLOOKUP(B3431,辅助信息!E:K,7,FALSE)</f>
        <v>JWDDCD2025072900123</v>
      </c>
      <c r="E3431" s="40" t="str">
        <f>VLOOKUP(F3431,辅助信息!A:B,2,FALSE)</f>
        <v>螺纹钢</v>
      </c>
      <c r="F3431" s="40" t="s">
        <v>90</v>
      </c>
      <c r="G3431" s="36">
        <v>20</v>
      </c>
      <c r="H3431" s="134"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09" t="str">
        <f>VLOOKUP(B3431,辅助信息!E:J,6,FALSE)</f>
        <v>联系实际收货人（彭江涛13990276572）现场要求炉批号控制2个以下，超2个不给予签收。提前联系到场规格及数量</v>
      </c>
      <c r="O3431" s="62" t="str">
        <f ca="1" t="shared" si="190"/>
        <v/>
      </c>
      <c r="P3431" s="62"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0">
        <v>45915</v>
      </c>
      <c r="D3432" s="40" t="str">
        <f>VLOOKUP(B3432,辅助信息!E:K,7,FALSE)</f>
        <v>JWDDCD2025051800046</v>
      </c>
      <c r="E3432" s="40" t="str">
        <f>VLOOKUP(F3432,辅助信息!A:B,2,FALSE)</f>
        <v>盘螺</v>
      </c>
      <c r="F3432" s="40" t="s">
        <v>40</v>
      </c>
      <c r="G3432" s="36">
        <v>18</v>
      </c>
      <c r="H3432" s="134">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09" t="str">
        <f>VLOOKUP(B3432,辅助信息!E:J,6,FALSE)</f>
        <v>优先威钢,我方卸车,新老国标钢厂不加价可直发</v>
      </c>
      <c r="M3432" s="148">
        <v>45918</v>
      </c>
      <c r="O3432" s="62">
        <f ca="1" t="shared" si="190"/>
        <v>0</v>
      </c>
      <c r="P3432" s="62">
        <f ca="1" t="shared" si="191"/>
        <v>42</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0">
        <v>45915</v>
      </c>
      <c r="D3433" s="40" t="str">
        <f>VLOOKUP(B3433,辅助信息!E:K,7,FALSE)</f>
        <v>JWDDCD2025051800046</v>
      </c>
      <c r="E3433" s="40" t="str">
        <f>VLOOKUP(F3433,辅助信息!A:B,2,FALSE)</f>
        <v>盘螺</v>
      </c>
      <c r="F3433" s="40" t="s">
        <v>41</v>
      </c>
      <c r="G3433" s="36">
        <v>15</v>
      </c>
      <c r="H3433" s="134">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09" t="str">
        <f>VLOOKUP(B3433,辅助信息!E:J,6,FALSE)</f>
        <v>优先威钢,我方卸车,新老国标钢厂不加价可直发</v>
      </c>
      <c r="M3433" s="148">
        <v>45918</v>
      </c>
      <c r="O3433" s="62">
        <f ca="1" t="shared" si="190"/>
        <v>0</v>
      </c>
      <c r="P3433" s="62">
        <f ca="1" t="shared" si="191"/>
        <v>42</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0">
        <v>45915</v>
      </c>
      <c r="D3434" s="40" t="str">
        <f>VLOOKUP(B3434,辅助信息!E:K,7,FALSE)</f>
        <v>JWDDCD2025051800046</v>
      </c>
      <c r="E3434" s="40" t="str">
        <f>VLOOKUP(F3434,辅助信息!A:B,2,FALSE)</f>
        <v>螺纹钢</v>
      </c>
      <c r="F3434" s="40" t="s">
        <v>27</v>
      </c>
      <c r="G3434" s="36">
        <v>5</v>
      </c>
      <c r="H3434" s="134">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09" t="str">
        <f>VLOOKUP(B3434,辅助信息!E:J,6,FALSE)</f>
        <v>优先威钢,我方卸车,新老国标钢厂不加价可直发</v>
      </c>
      <c r="M3434" s="148">
        <v>45918</v>
      </c>
      <c r="O3434" s="62">
        <f ca="1" t="shared" si="190"/>
        <v>0</v>
      </c>
      <c r="P3434" s="62">
        <f ca="1" t="shared" si="191"/>
        <v>42</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0">
        <v>45915</v>
      </c>
      <c r="D3435" s="40" t="str">
        <f>VLOOKUP(B3435,辅助信息!E:K,7,FALSE)</f>
        <v>JWDDCD2025051800046</v>
      </c>
      <c r="E3435" s="40" t="str">
        <f>VLOOKUP(F3435,辅助信息!A:B,2,FALSE)</f>
        <v>螺纹钢</v>
      </c>
      <c r="F3435" s="40" t="s">
        <v>19</v>
      </c>
      <c r="G3435" s="36">
        <v>3</v>
      </c>
      <c r="H3435" s="134">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09" t="str">
        <f>VLOOKUP(B3435,辅助信息!E:J,6,FALSE)</f>
        <v>优先威钢,我方卸车,新老国标钢厂不加价可直发</v>
      </c>
      <c r="M3435" s="148">
        <v>45918</v>
      </c>
      <c r="O3435" s="62">
        <f ca="1" t="shared" si="190"/>
        <v>0</v>
      </c>
      <c r="P3435" s="62">
        <f ca="1" t="shared" si="191"/>
        <v>42</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0">
        <v>45915</v>
      </c>
      <c r="D3436" s="40" t="str">
        <f>VLOOKUP(B3436,辅助信息!E:K,7,FALSE)</f>
        <v>JWDDCD2025051800046</v>
      </c>
      <c r="E3436" s="40" t="str">
        <f>VLOOKUP(F3436,辅助信息!A:B,2,FALSE)</f>
        <v>螺纹钢</v>
      </c>
      <c r="F3436" s="40" t="s">
        <v>82</v>
      </c>
      <c r="G3436" s="36">
        <v>3</v>
      </c>
      <c r="H3436" s="134">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09" t="str">
        <f>VLOOKUP(B3436,辅助信息!E:J,6,FALSE)</f>
        <v>优先威钢,我方卸车,新老国标钢厂不加价可直发</v>
      </c>
      <c r="M3436" s="148">
        <v>45918</v>
      </c>
      <c r="O3436" s="62">
        <f ca="1" t="shared" si="190"/>
        <v>0</v>
      </c>
      <c r="P3436" s="62">
        <f ca="1" t="shared" si="191"/>
        <v>42</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0">
        <v>45915</v>
      </c>
      <c r="D3437" s="40" t="str">
        <f>VLOOKUP(B3437,辅助信息!E:K,7,FALSE)</f>
        <v>JWDDCD2025051800046</v>
      </c>
      <c r="E3437" s="40" t="str">
        <f>VLOOKUP(F3437,辅助信息!A:B,2,FALSE)</f>
        <v>螺纹钢</v>
      </c>
      <c r="F3437" s="40" t="s">
        <v>46</v>
      </c>
      <c r="G3437" s="36">
        <v>5</v>
      </c>
      <c r="H3437" s="134">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09" t="str">
        <f>VLOOKUP(B3437,辅助信息!E:J,6,FALSE)</f>
        <v>优先威钢,我方卸车,新老国标钢厂不加价可直发</v>
      </c>
      <c r="M3437" s="148">
        <v>45918</v>
      </c>
      <c r="O3437" s="62">
        <f ca="1" t="shared" si="190"/>
        <v>0</v>
      </c>
      <c r="P3437" s="62">
        <f ca="1" t="shared" si="191"/>
        <v>42</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0">
        <v>45915</v>
      </c>
      <c r="D3438" s="40" t="str">
        <f>VLOOKUP(B3438,辅助信息!E:K,7,FALSE)</f>
        <v>JWDDCD2025051800046</v>
      </c>
      <c r="E3438" s="40" t="str">
        <f>VLOOKUP(F3438,辅助信息!A:B,2,FALSE)</f>
        <v>螺纹钢</v>
      </c>
      <c r="F3438" s="40" t="s">
        <v>22</v>
      </c>
      <c r="G3438" s="36">
        <v>23</v>
      </c>
      <c r="H3438" s="134">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09" t="str">
        <f>VLOOKUP(B3438,辅助信息!E:J,6,FALSE)</f>
        <v>优先威钢,我方卸车,新老国标钢厂不加价可直发</v>
      </c>
      <c r="M3438" s="148">
        <v>45918</v>
      </c>
      <c r="O3438" s="62">
        <f ca="1" t="shared" si="190"/>
        <v>0</v>
      </c>
      <c r="P3438" s="62">
        <f ca="1" t="shared" si="191"/>
        <v>42</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0">
        <v>45915</v>
      </c>
      <c r="D3439" s="40" t="str">
        <f>VLOOKUP(B3439,辅助信息!E:K,7,FALSE)</f>
        <v>JWDD2025071500089</v>
      </c>
      <c r="E3439" s="40" t="str">
        <f>VLOOKUP(F3439,辅助信息!A:B,2,FALSE)</f>
        <v>盘螺</v>
      </c>
      <c r="F3439" s="40" t="s">
        <v>40</v>
      </c>
      <c r="G3439" s="36">
        <v>15</v>
      </c>
      <c r="H3439" s="134">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09" t="str">
        <f>VLOOKUP(B3439,辅助信息!E:J,6,FALSE)</f>
        <v>现场要求调度统一联系指定收货人，不单独发司机位置。锈货不收，装货前联系收货人核实到场规格,没提前告知进场规格现场不给予接收</v>
      </c>
      <c r="O3439" s="62" t="str">
        <f ca="1" t="shared" si="190"/>
        <v/>
      </c>
      <c r="P3439" s="62"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0">
        <v>45915</v>
      </c>
      <c r="D3440" s="40" t="str">
        <f>VLOOKUP(B3440,辅助信息!E:K,7,FALSE)</f>
        <v>JWDD2025071500089</v>
      </c>
      <c r="E3440" s="40" t="str">
        <f>VLOOKUP(F3440,辅助信息!A:B,2,FALSE)</f>
        <v>盘螺</v>
      </c>
      <c r="F3440" s="40" t="s">
        <v>41</v>
      </c>
      <c r="G3440" s="36">
        <v>22</v>
      </c>
      <c r="H3440" s="134">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09" t="str">
        <f>VLOOKUP(B3440,辅助信息!E:J,6,FALSE)</f>
        <v>现场要求调度统一联系指定收货人，不单独发司机位置。锈货不收，装货前联系收货人核实到场规格,没提前告知进场规格现场不给予接收</v>
      </c>
      <c r="O3440" s="62" t="str">
        <f ca="1" t="shared" si="190"/>
        <v/>
      </c>
      <c r="P3440" s="62"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0">
        <v>45915</v>
      </c>
      <c r="D3441" s="40" t="str">
        <f>VLOOKUP(B3441,辅助信息!E:K,7,FALSE)</f>
        <v>JWDD2025071500089</v>
      </c>
      <c r="E3441" s="40" t="str">
        <f>VLOOKUP(F3441,辅助信息!A:B,2,FALSE)</f>
        <v>螺纹钢</v>
      </c>
      <c r="F3441" s="40" t="s">
        <v>19</v>
      </c>
      <c r="G3441" s="36">
        <v>35</v>
      </c>
      <c r="H3441" s="134">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09" t="str">
        <f>VLOOKUP(B3441,辅助信息!E:J,6,FALSE)</f>
        <v>现场要求调度统一联系指定收货人，不单独发司机位置。锈货不收，装货前联系收货人核实到场规格,没提前告知进场规格现场不给予接收</v>
      </c>
      <c r="O3441" s="62" t="str">
        <f ca="1" t="shared" si="190"/>
        <v/>
      </c>
      <c r="P3441" s="62"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0">
        <v>45915</v>
      </c>
      <c r="D3442" s="40" t="str">
        <f>VLOOKUP(B3442,辅助信息!E:K,7,FALSE)</f>
        <v>JWDD2025071500089</v>
      </c>
      <c r="E3442" s="40" t="str">
        <f>VLOOKUP(F3442,辅助信息!A:B,2,FALSE)</f>
        <v>螺纹钢</v>
      </c>
      <c r="F3442" s="40" t="s">
        <v>66</v>
      </c>
      <c r="G3442" s="36">
        <v>2</v>
      </c>
      <c r="H3442" s="134">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09" t="str">
        <f>VLOOKUP(B3442,辅助信息!E:J,6,FALSE)</f>
        <v>现场要求调度统一联系指定收货人，不单独发司机位置。锈货不收，装货前联系收货人核实到场规格,没提前告知进场规格现场不给予接收</v>
      </c>
      <c r="O3442" s="62" t="str">
        <f ca="1" t="shared" si="190"/>
        <v/>
      </c>
      <c r="P3442" s="62"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0">
        <v>45915</v>
      </c>
      <c r="D3443" s="40" t="str">
        <f>VLOOKUP(B3443,辅助信息!E:K,7,FALSE)</f>
        <v>JWDD2025071500089</v>
      </c>
      <c r="E3443" s="40" t="str">
        <f>VLOOKUP(F3443,辅助信息!A:B,2,FALSE)</f>
        <v>螺纹钢</v>
      </c>
      <c r="F3443" s="40" t="s">
        <v>82</v>
      </c>
      <c r="G3443" s="36">
        <v>2</v>
      </c>
      <c r="H3443" s="134">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09" t="str">
        <f>VLOOKUP(B3443,辅助信息!E:J,6,FALSE)</f>
        <v>现场要求调度统一联系指定收货人，不单独发司机位置。锈货不收，装货前联系收货人核实到场规格,没提前告知进场规格现场不给予接收</v>
      </c>
      <c r="O3443" s="62" t="str">
        <f ca="1" t="shared" si="190"/>
        <v/>
      </c>
      <c r="P3443" s="62"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0">
        <v>45915</v>
      </c>
      <c r="D3444" s="40" t="str">
        <f>VLOOKUP(B3444,辅助信息!E:K,7,FALSE)</f>
        <v>JWDD2025071500089</v>
      </c>
      <c r="E3444" s="40" t="str">
        <f>VLOOKUP(F3444,辅助信息!A:B,2,FALSE)</f>
        <v>螺纹钢</v>
      </c>
      <c r="F3444" s="40" t="s">
        <v>45</v>
      </c>
      <c r="G3444" s="36">
        <v>2</v>
      </c>
      <c r="H3444" s="134">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09" t="str">
        <f>VLOOKUP(B3444,辅助信息!E:J,6,FALSE)</f>
        <v>现场要求调度统一联系指定收货人，不单独发司机位置。锈货不收，装货前联系收货人核实到场规格,没提前告知进场规格现场不给予接收</v>
      </c>
      <c r="O3444" s="62" t="str">
        <f ca="1" t="shared" si="190"/>
        <v/>
      </c>
      <c r="P3444" s="62"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0">
        <v>45915</v>
      </c>
      <c r="D3445" s="40" t="str">
        <f>VLOOKUP(B3445,辅助信息!E:K,7,FALSE)</f>
        <v>JWDD2025071500089</v>
      </c>
      <c r="E3445" s="40" t="str">
        <f>VLOOKUP(F3445,辅助信息!A:B,2,FALSE)</f>
        <v>螺纹钢</v>
      </c>
      <c r="F3445" s="40" t="s">
        <v>21</v>
      </c>
      <c r="G3445" s="36">
        <v>2</v>
      </c>
      <c r="H3445" s="134">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09" t="str">
        <f>VLOOKUP(B3445,辅助信息!E:J,6,FALSE)</f>
        <v>现场要求调度统一联系指定收货人，不单独发司机位置。锈货不收，装货前联系收货人核实到场规格,没提前告知进场规格现场不给予接收</v>
      </c>
      <c r="O3445" s="62" t="str">
        <f ca="1" t="shared" si="190"/>
        <v/>
      </c>
      <c r="P3445" s="62"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0">
        <v>45915</v>
      </c>
      <c r="D3446" s="40" t="str">
        <f>VLOOKUP(B3446,辅助信息!E:K,7,FALSE)</f>
        <v>JWDD2025071500089</v>
      </c>
      <c r="E3446" s="40" t="str">
        <f>VLOOKUP(F3446,辅助信息!A:B,2,FALSE)</f>
        <v>螺纹钢</v>
      </c>
      <c r="F3446" s="40" t="s">
        <v>58</v>
      </c>
      <c r="G3446" s="36">
        <v>2</v>
      </c>
      <c r="H3446" s="134">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09" t="str">
        <f>VLOOKUP(B3446,辅助信息!E:J,6,FALSE)</f>
        <v>现场要求调度统一联系指定收货人，不单独发司机位置。锈货不收，装货前联系收货人核实到场规格,没提前告知进场规格现场不给予接收</v>
      </c>
      <c r="O3446" s="62" t="str">
        <f ca="1" t="shared" si="190"/>
        <v/>
      </c>
      <c r="P3446" s="62"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0">
        <v>45915</v>
      </c>
      <c r="D3447" s="40" t="str">
        <f>VLOOKUP(B3447,辅助信息!E:K,7,FALSE)</f>
        <v>JWDD2025071500089</v>
      </c>
      <c r="E3447" s="40" t="str">
        <f>VLOOKUP(F3447,辅助信息!A:B,2,FALSE)</f>
        <v>螺纹钢</v>
      </c>
      <c r="F3447" s="40" t="s">
        <v>46</v>
      </c>
      <c r="G3447" s="36">
        <v>2</v>
      </c>
      <c r="H3447" s="134">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09" t="str">
        <f>VLOOKUP(B3447,辅助信息!E:J,6,FALSE)</f>
        <v>现场要求调度统一联系指定收货人，不单独发司机位置。锈货不收，装货前联系收货人核实到场规格,没提前告知进场规格现场不给予接收</v>
      </c>
      <c r="O3447" s="62" t="str">
        <f ca="1" t="shared" si="190"/>
        <v/>
      </c>
      <c r="P3447" s="62"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0">
        <v>45915</v>
      </c>
      <c r="D3448" s="40" t="str">
        <f>VLOOKUP(B3448,辅助信息!E:K,7,FALSE)</f>
        <v>JWDD2025071500089</v>
      </c>
      <c r="E3448" s="40" t="str">
        <f>VLOOKUP(F3448,辅助信息!A:B,2,FALSE)</f>
        <v>螺纹钢</v>
      </c>
      <c r="F3448" s="40" t="s">
        <v>22</v>
      </c>
      <c r="G3448" s="36">
        <v>21</v>
      </c>
      <c r="H3448" s="134">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09" t="str">
        <f>VLOOKUP(B3448,辅助信息!E:J,6,FALSE)</f>
        <v>现场要求调度统一联系指定收货人，不单独发司机位置。锈货不收，装货前联系收货人核实到场规格,没提前告知进场规格现场不给予接收</v>
      </c>
      <c r="O3448" s="62" t="str">
        <f ca="1" t="shared" si="190"/>
        <v/>
      </c>
      <c r="P3448" s="62"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0">
        <v>45915</v>
      </c>
      <c r="D3449" s="40" t="str">
        <f>VLOOKUP(B3449,辅助信息!E:K,7,FALSE)</f>
        <v>JWDDCD2025052800131</v>
      </c>
      <c r="E3449" s="40" t="str">
        <f>VLOOKUP(F3449,辅助信息!A:B,2,FALSE)</f>
        <v>盘螺</v>
      </c>
      <c r="F3449" s="40" t="s">
        <v>49</v>
      </c>
      <c r="G3449" s="36">
        <v>6</v>
      </c>
      <c r="H3449" s="134"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09" t="str">
        <f>VLOOKUP(B3449,辅助信息!E:J,6,FALSE)</f>
        <v>控制炉批号！多了现场不收！,优先安排达钢,提前联系到场规格及数量</v>
      </c>
      <c r="M3449" s="91">
        <v>45918</v>
      </c>
      <c r="O3449" s="62">
        <f ca="1" t="shared" si="190"/>
        <v>0</v>
      </c>
      <c r="P3449" s="62">
        <f ca="1" t="shared" si="191"/>
        <v>42</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0">
        <v>45915</v>
      </c>
      <c r="D3450" s="40" t="str">
        <f>VLOOKUP(B3450,辅助信息!E:K,7,FALSE)</f>
        <v>JWDDCD2025052800131</v>
      </c>
      <c r="E3450" s="40" t="str">
        <f>VLOOKUP(F3450,辅助信息!A:B,2,FALSE)</f>
        <v>盘螺</v>
      </c>
      <c r="F3450" s="40" t="s">
        <v>40</v>
      </c>
      <c r="G3450" s="36">
        <v>12</v>
      </c>
      <c r="H3450" s="134"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09" t="str">
        <f>VLOOKUP(B3450,辅助信息!E:J,6,FALSE)</f>
        <v>控制炉批号！多了现场不收！,优先安排达钢,提前联系到场规格及数量</v>
      </c>
      <c r="M3450" s="91">
        <v>45918</v>
      </c>
      <c r="O3450" s="62">
        <f ca="1" t="shared" si="190"/>
        <v>0</v>
      </c>
      <c r="P3450" s="62">
        <f ca="1" t="shared" si="191"/>
        <v>42</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0">
        <v>45915</v>
      </c>
      <c r="D3451" s="40" t="str">
        <f>VLOOKUP(B3451,辅助信息!E:K,7,FALSE)</f>
        <v>JWDDCD2025052800131</v>
      </c>
      <c r="E3451" s="40" t="str">
        <f>VLOOKUP(F3451,辅助信息!A:B,2,FALSE)</f>
        <v>盘螺</v>
      </c>
      <c r="F3451" s="40" t="s">
        <v>41</v>
      </c>
      <c r="G3451" s="36">
        <v>12</v>
      </c>
      <c r="H3451" s="134"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09" t="str">
        <f>VLOOKUP(B3451,辅助信息!E:J,6,FALSE)</f>
        <v>控制炉批号！多了现场不收！,优先安排达钢,提前联系到场规格及数量</v>
      </c>
      <c r="M3451" s="91">
        <v>45918</v>
      </c>
      <c r="O3451" s="62">
        <f ca="1" t="shared" si="190"/>
        <v>0</v>
      </c>
      <c r="P3451" s="62">
        <f ca="1" t="shared" si="191"/>
        <v>42</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0">
        <v>45915</v>
      </c>
      <c r="D3452" s="40" t="str">
        <f>VLOOKUP(B3452,辅助信息!E:K,7,FALSE)</f>
        <v>JWDDCD2025052800131</v>
      </c>
      <c r="E3452" s="40" t="str">
        <f>VLOOKUP(F3452,辅助信息!A:B,2,FALSE)</f>
        <v>螺纹钢</v>
      </c>
      <c r="F3452" s="40" t="s">
        <v>33</v>
      </c>
      <c r="G3452" s="36">
        <v>6</v>
      </c>
      <c r="H3452" s="134"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09" t="str">
        <f>VLOOKUP(B3452,辅助信息!E:J,6,FALSE)</f>
        <v>控制炉批号！多了现场不收！,优先安排达钢,提前联系到场规格及数量</v>
      </c>
      <c r="M3452" s="91">
        <v>45918</v>
      </c>
      <c r="O3452" s="62">
        <f ca="1" t="shared" si="190"/>
        <v>0</v>
      </c>
      <c r="P3452" s="62">
        <f ca="1" t="shared" si="191"/>
        <v>42</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0">
        <v>45915</v>
      </c>
      <c r="D3453" s="40" t="str">
        <f>VLOOKUP(B3453,辅助信息!E:K,7,FALSE)</f>
        <v>JWDDCD2025052800131</v>
      </c>
      <c r="E3453" s="40" t="str">
        <f>VLOOKUP(F3453,辅助信息!A:B,2,FALSE)</f>
        <v>螺纹钢</v>
      </c>
      <c r="F3453" s="40" t="s">
        <v>66</v>
      </c>
      <c r="G3453" s="36">
        <v>6</v>
      </c>
      <c r="H3453" s="134"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09" t="str">
        <f>VLOOKUP(B3453,辅助信息!E:J,6,FALSE)</f>
        <v>控制炉批号！多了现场不收！,优先安排达钢,提前联系到场规格及数量</v>
      </c>
      <c r="M3453" s="91">
        <v>45918</v>
      </c>
      <c r="O3453" s="62">
        <f ca="1" t="shared" si="190"/>
        <v>0</v>
      </c>
      <c r="P3453" s="62">
        <f ca="1" t="shared" si="191"/>
        <v>42</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0">
        <v>45915</v>
      </c>
      <c r="D3454" s="40" t="str">
        <f>VLOOKUP(B3454,辅助信息!E:K,7,FALSE)</f>
        <v>JWDDCD2025052800131</v>
      </c>
      <c r="E3454" s="40" t="str">
        <f>VLOOKUP(F3454,辅助信息!A:B,2,FALSE)</f>
        <v>螺纹钢</v>
      </c>
      <c r="F3454" s="40" t="s">
        <v>21</v>
      </c>
      <c r="G3454" s="36">
        <v>12</v>
      </c>
      <c r="H3454" s="134"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09" t="str">
        <f>VLOOKUP(B3454,辅助信息!E:J,6,FALSE)</f>
        <v>控制炉批号！多了现场不收！,优先安排达钢,提前联系到场规格及数量</v>
      </c>
      <c r="M3454" s="91">
        <v>45918</v>
      </c>
      <c r="O3454" s="62">
        <f ca="1" t="shared" si="190"/>
        <v>0</v>
      </c>
      <c r="P3454" s="62">
        <f ca="1" t="shared" si="191"/>
        <v>42</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0">
        <v>45915</v>
      </c>
      <c r="D3455" s="40" t="str">
        <f>VLOOKUP(B3455,辅助信息!E:K,7,FALSE)</f>
        <v>JWDDCD2025052800131</v>
      </c>
      <c r="E3455" s="40" t="str">
        <f>VLOOKUP(F3455,辅助信息!A:B,2,FALSE)</f>
        <v>螺纹钢</v>
      </c>
      <c r="F3455" s="40" t="s">
        <v>58</v>
      </c>
      <c r="G3455" s="36">
        <v>15</v>
      </c>
      <c r="H3455" s="134"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09" t="str">
        <f>VLOOKUP(B3455,辅助信息!E:J,6,FALSE)</f>
        <v>控制炉批号！多了现场不收！,优先安排达钢,提前联系到场规格及数量</v>
      </c>
      <c r="M3455" s="91">
        <v>45918</v>
      </c>
      <c r="O3455" s="62">
        <f ca="1" t="shared" si="190"/>
        <v>0</v>
      </c>
      <c r="P3455" s="62">
        <f ca="1" t="shared" si="191"/>
        <v>42</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0">
        <v>45915</v>
      </c>
      <c r="D3456" s="40" t="str">
        <f>VLOOKUP(B3456,辅助信息!E:K,7,FALSE)</f>
        <v>JWDDCD2025102100475</v>
      </c>
      <c r="E3456" s="40" t="str">
        <f>VLOOKUP(F3456,辅助信息!A:B,2,FALSE)</f>
        <v>盘螺</v>
      </c>
      <c r="F3456" s="40" t="s">
        <v>26</v>
      </c>
      <c r="G3456" s="36">
        <v>18</v>
      </c>
      <c r="H3456" s="134">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7"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2" t="str">
        <f ca="1" t="shared" si="190"/>
        <v/>
      </c>
      <c r="P3456" s="62"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0">
        <v>45915</v>
      </c>
      <c r="D3457" s="40" t="str">
        <f>VLOOKUP(B3457,辅助信息!E:K,7,FALSE)</f>
        <v>JWDDCD2025102100475</v>
      </c>
      <c r="E3457" s="40" t="str">
        <f>VLOOKUP(F3457,辅助信息!A:B,2,FALSE)</f>
        <v>螺纹钢</v>
      </c>
      <c r="F3457" s="40" t="s">
        <v>32</v>
      </c>
      <c r="G3457" s="36">
        <v>14</v>
      </c>
      <c r="H3457" s="134"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7"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2" t="str">
        <f ca="1" t="shared" si="190"/>
        <v/>
      </c>
      <c r="P3457" s="62"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0">
        <v>45915</v>
      </c>
      <c r="D3458" s="40" t="str">
        <f>VLOOKUP(B3458,辅助信息!E:K,7,FALSE)</f>
        <v>JWDDCD2025102100475</v>
      </c>
      <c r="E3458" s="40" t="str">
        <f>VLOOKUP(F3458,辅助信息!A:B,2,FALSE)</f>
        <v>螺纹钢</v>
      </c>
      <c r="F3458" s="40" t="s">
        <v>30</v>
      </c>
      <c r="G3458" s="36">
        <v>18</v>
      </c>
      <c r="H3458" s="134"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7"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2" t="str">
        <f ca="1" t="shared" si="190"/>
        <v/>
      </c>
      <c r="P3458" s="62"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0">
        <v>45915</v>
      </c>
      <c r="D3459" s="40" t="str">
        <f>VLOOKUP(B3459,辅助信息!E:K,7,FALSE)</f>
        <v>JWDDCD2025102100475</v>
      </c>
      <c r="E3459" s="40" t="str">
        <f>VLOOKUP(F3459,辅助信息!A:B,2,FALSE)</f>
        <v>螺纹钢</v>
      </c>
      <c r="F3459" s="40" t="s">
        <v>33</v>
      </c>
      <c r="G3459" s="36">
        <v>10</v>
      </c>
      <c r="H3459" s="134">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7"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2" t="str">
        <f ca="1" t="shared" si="190"/>
        <v/>
      </c>
      <c r="P3459" s="62"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0">
        <v>45915</v>
      </c>
      <c r="D3460" s="40" t="str">
        <f>VLOOKUP(B3460,辅助信息!E:K,7,FALSE)</f>
        <v>JWDDCD2025102100475</v>
      </c>
      <c r="E3460" s="40" t="str">
        <f>VLOOKUP(F3460,辅助信息!A:B,2,FALSE)</f>
        <v>螺纹钢</v>
      </c>
      <c r="F3460" s="40" t="s">
        <v>28</v>
      </c>
      <c r="G3460" s="36">
        <v>10</v>
      </c>
      <c r="H3460" s="134">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7"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2" t="str">
        <f ca="1" t="shared" si="190"/>
        <v/>
      </c>
      <c r="P3460" s="62"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0" t="s">
        <v>112</v>
      </c>
      <c r="C3461" s="70">
        <v>45916</v>
      </c>
      <c r="D3461" s="120" t="str">
        <f>VLOOKUP(B3461,辅助信息!E:K,7,FALSE)</f>
        <v>JWDDCD2025052800131</v>
      </c>
      <c r="E3461" s="120" t="str">
        <f>VLOOKUP(F3461,辅助信息!A:B,2,FALSE)</f>
        <v>螺纹钢</v>
      </c>
      <c r="F3461" s="120" t="s">
        <v>27</v>
      </c>
      <c r="G3461" s="121">
        <v>6</v>
      </c>
      <c r="H3461" s="134">
        <f>IF(SUMIFS('[1]2025年已发货'!$E:$E,'[1]2025年已发货'!$F:$F,C3461,'[1]2025年已发货'!$C:$C,F3461,'[1]2025年已发货'!$G:$G,I3461,'[1]2025年已发货'!$H:$H,J3461)=0,"未发货",SUMIFS('[1]2025年已发货'!$E:$E,'[1]2025年已发货'!$F:$F,C3461,'[1]2025年已发货'!$C:$C,F3461,'[1]2025年已发货'!$G:$G,I3461,'[1]2025年已发货'!$H:$H,J3461))</f>
        <v>6</v>
      </c>
      <c r="I3461" s="120" t="str">
        <f>VLOOKUP(B3461,辅助信息!E:I,3,FALSE)</f>
        <v>（商投建工达州中医药科技园-4工区-10号楼）达州市通川区达州中医药职业学院犀牛大道北段</v>
      </c>
      <c r="J3461" s="120" t="str">
        <f>VLOOKUP(B3461,辅助信息!E:I,4,FALSE)</f>
        <v>张扬</v>
      </c>
      <c r="K3461" s="120">
        <f>VLOOKUP(J3461,辅助信息!H:I,2,FALSE)</f>
        <v>18381904567</v>
      </c>
      <c r="L3461" s="122" t="str">
        <f>VLOOKUP(B3461,辅助信息!E:J,6,FALSE)</f>
        <v>控制炉批号！多了现场不收！,优先安排达钢,提前联系到场规格及数量</v>
      </c>
      <c r="O3461" s="62" t="str">
        <f ca="1" t="shared" si="190"/>
        <v/>
      </c>
      <c r="P3461" s="62"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0" t="s">
        <v>112</v>
      </c>
      <c r="C3462" s="70">
        <v>45916</v>
      </c>
      <c r="D3462" s="120" t="str">
        <f>VLOOKUP(B3462,辅助信息!E:K,7,FALSE)</f>
        <v>JWDDCD2025052800131</v>
      </c>
      <c r="E3462" s="120" t="str">
        <f>VLOOKUP(F3462,辅助信息!A:B,2,FALSE)</f>
        <v>螺纹钢</v>
      </c>
      <c r="F3462" s="120" t="s">
        <v>45</v>
      </c>
      <c r="G3462" s="121">
        <v>6</v>
      </c>
      <c r="H3462" s="134">
        <f>IF(SUMIFS('[1]2025年已发货'!$E:$E,'[1]2025年已发货'!$F:$F,C3462,'[1]2025年已发货'!$C:$C,F3462,'[1]2025年已发货'!$G:$G,I3462,'[1]2025年已发货'!$H:$H,J3462)=0,"未发货",SUMIFS('[1]2025年已发货'!$E:$E,'[1]2025年已发货'!$F:$F,C3462,'[1]2025年已发货'!$C:$C,F3462,'[1]2025年已发货'!$G:$G,I3462,'[1]2025年已发货'!$H:$H,J3462))</f>
        <v>6</v>
      </c>
      <c r="I3462" s="120" t="str">
        <f>VLOOKUP(B3462,辅助信息!E:I,3,FALSE)</f>
        <v>（商投建工达州中医药科技园-4工区-10号楼）达州市通川区达州中医药职业学院犀牛大道北段</v>
      </c>
      <c r="J3462" s="120" t="str">
        <f>VLOOKUP(B3462,辅助信息!E:I,4,FALSE)</f>
        <v>张扬</v>
      </c>
      <c r="K3462" s="120">
        <f>VLOOKUP(J3462,辅助信息!H:I,2,FALSE)</f>
        <v>18381904567</v>
      </c>
      <c r="L3462" s="122" t="str">
        <f>VLOOKUP(B3462,辅助信息!E:J,6,FALSE)</f>
        <v>控制炉批号！多了现场不收！,优先安排达钢,提前联系到场规格及数量</v>
      </c>
      <c r="O3462" s="62" t="str">
        <f ca="1" t="shared" si="190"/>
        <v/>
      </c>
      <c r="P3462" s="62"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0" t="s">
        <v>112</v>
      </c>
      <c r="C3463" s="70">
        <v>45916</v>
      </c>
      <c r="D3463" s="120" t="str">
        <f>VLOOKUP(B3463,辅助信息!E:K,7,FALSE)</f>
        <v>JWDDCD2025052800131</v>
      </c>
      <c r="E3463" s="120" t="str">
        <f>VLOOKUP(F3463,辅助信息!A:B,2,FALSE)</f>
        <v>螺纹钢</v>
      </c>
      <c r="F3463" s="120" t="s">
        <v>21</v>
      </c>
      <c r="G3463" s="121">
        <v>12</v>
      </c>
      <c r="H3463" s="134"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0" t="str">
        <f>VLOOKUP(B3463,辅助信息!E:I,3,FALSE)</f>
        <v>（商投建工达州中医药科技园-4工区-10号楼）达州市通川区达州中医药职业学院犀牛大道北段</v>
      </c>
      <c r="J3463" s="120" t="str">
        <f>VLOOKUP(B3463,辅助信息!E:I,4,FALSE)</f>
        <v>张扬</v>
      </c>
      <c r="K3463" s="120">
        <f>VLOOKUP(J3463,辅助信息!H:I,2,FALSE)</f>
        <v>18381904567</v>
      </c>
      <c r="L3463" s="122" t="str">
        <f>VLOOKUP(B3463,辅助信息!E:J,6,FALSE)</f>
        <v>控制炉批号！多了现场不收！,优先安排达钢,提前联系到场规格及数量</v>
      </c>
      <c r="O3463" s="62" t="str">
        <f ca="1" t="shared" si="190"/>
        <v/>
      </c>
      <c r="P3463" s="62"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0" t="s">
        <v>112</v>
      </c>
      <c r="C3464" s="70">
        <v>45916</v>
      </c>
      <c r="D3464" s="120" t="str">
        <f>VLOOKUP(B3464,辅助信息!E:K,7,FALSE)</f>
        <v>JWDDCD2025052800131</v>
      </c>
      <c r="E3464" s="120" t="str">
        <f>VLOOKUP(F3464,辅助信息!A:B,2,FALSE)</f>
        <v>螺纹钢</v>
      </c>
      <c r="F3464" s="120" t="s">
        <v>58</v>
      </c>
      <c r="G3464" s="121">
        <v>9</v>
      </c>
      <c r="H3464" s="134">
        <f>IF(SUMIFS('[1]2025年已发货'!$E:$E,'[1]2025年已发货'!$F:$F,C3464,'[1]2025年已发货'!$C:$C,F3464,'[1]2025年已发货'!$G:$G,I3464,'[1]2025年已发货'!$H:$H,J3464)=0,"未发货",SUMIFS('[1]2025年已发货'!$E:$E,'[1]2025年已发货'!$F:$F,C3464,'[1]2025年已发货'!$C:$C,F3464,'[1]2025年已发货'!$G:$G,I3464,'[1]2025年已发货'!$H:$H,J3464))</f>
        <v>9</v>
      </c>
      <c r="I3464" s="120" t="str">
        <f>VLOOKUP(B3464,辅助信息!E:I,3,FALSE)</f>
        <v>（商投建工达州中医药科技园-4工区-10号楼）达州市通川区达州中医药职业学院犀牛大道北段</v>
      </c>
      <c r="J3464" s="120" t="str">
        <f>VLOOKUP(B3464,辅助信息!E:I,4,FALSE)</f>
        <v>张扬</v>
      </c>
      <c r="K3464" s="120">
        <f>VLOOKUP(J3464,辅助信息!H:I,2,FALSE)</f>
        <v>18381904567</v>
      </c>
      <c r="L3464" s="122" t="str">
        <f>VLOOKUP(B3464,辅助信息!E:J,6,FALSE)</f>
        <v>控制炉批号！多了现场不收！,优先安排达钢,提前联系到场规格及数量</v>
      </c>
      <c r="O3464" s="62" t="str">
        <f ca="1" t="shared" si="190"/>
        <v/>
      </c>
      <c r="P3464" s="62"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0" t="s">
        <v>112</v>
      </c>
      <c r="C3465" s="70">
        <v>45916</v>
      </c>
      <c r="D3465" s="120" t="str">
        <f>VLOOKUP(B3465,辅助信息!E:K,7,FALSE)</f>
        <v>JWDDCD2025052800131</v>
      </c>
      <c r="E3465" s="120" t="str">
        <f>VLOOKUP(F3465,辅助信息!A:B,2,FALSE)</f>
        <v>螺纹钢</v>
      </c>
      <c r="F3465" s="120" t="s">
        <v>46</v>
      </c>
      <c r="G3465" s="121">
        <v>15</v>
      </c>
      <c r="H3465" s="134">
        <f>IF(SUMIFS('[1]2025年已发货'!$E:$E,'[1]2025年已发货'!$F:$F,C3465,'[1]2025年已发货'!$C:$C,F3465,'[1]2025年已发货'!$G:$G,I3465,'[1]2025年已发货'!$H:$H,J3465)=0,"未发货",SUMIFS('[1]2025年已发货'!$E:$E,'[1]2025年已发货'!$F:$F,C3465,'[1]2025年已发货'!$C:$C,F3465,'[1]2025年已发货'!$G:$G,I3465,'[1]2025年已发货'!$H:$H,J3465))</f>
        <v>15</v>
      </c>
      <c r="I3465" s="120" t="str">
        <f>VLOOKUP(B3465,辅助信息!E:I,3,FALSE)</f>
        <v>（商投建工达州中医药科技园-4工区-10号楼）达州市通川区达州中医药职业学院犀牛大道北段</v>
      </c>
      <c r="J3465" s="120" t="str">
        <f>VLOOKUP(B3465,辅助信息!E:I,4,FALSE)</f>
        <v>张扬</v>
      </c>
      <c r="K3465" s="120">
        <f>VLOOKUP(J3465,辅助信息!H:I,2,FALSE)</f>
        <v>18381904567</v>
      </c>
      <c r="L3465" s="122" t="str">
        <f>VLOOKUP(B3465,辅助信息!E:J,6,FALSE)</f>
        <v>控制炉批号！多了现场不收！,优先安排达钢,提前联系到场规格及数量</v>
      </c>
      <c r="O3465" s="62" t="str">
        <f ca="1" t="shared" si="190"/>
        <v/>
      </c>
      <c r="P3465" s="62"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0" t="s">
        <v>112</v>
      </c>
      <c r="C3466" s="70">
        <v>45916</v>
      </c>
      <c r="D3466" s="120" t="str">
        <f>VLOOKUP(B3466,辅助信息!E:K,7,FALSE)</f>
        <v>JWDDCD2025052800131</v>
      </c>
      <c r="E3466" s="120" t="str">
        <f>VLOOKUP(F3466,辅助信息!A:B,2,FALSE)</f>
        <v>螺纹钢</v>
      </c>
      <c r="F3466" s="120" t="s">
        <v>22</v>
      </c>
      <c r="G3466" s="121">
        <v>21</v>
      </c>
      <c r="H3466" s="134">
        <f>IF(SUMIFS('[1]2025年已发货'!$E:$E,'[1]2025年已发货'!$F:$F,C3466,'[1]2025年已发货'!$C:$C,F3466,'[1]2025年已发货'!$G:$G,I3466,'[1]2025年已发货'!$H:$H,J3466)=0,"未发货",SUMIFS('[1]2025年已发货'!$E:$E,'[1]2025年已发货'!$F:$F,C3466,'[1]2025年已发货'!$C:$C,F3466,'[1]2025年已发货'!$G:$G,I3466,'[1]2025年已发货'!$H:$H,J3466))</f>
        <v>21</v>
      </c>
      <c r="I3466" s="120" t="str">
        <f>VLOOKUP(B3466,辅助信息!E:I,3,FALSE)</f>
        <v>（商投建工达州中医药科技园-4工区-10号楼）达州市通川区达州中医药职业学院犀牛大道北段</v>
      </c>
      <c r="J3466" s="120" t="str">
        <f>VLOOKUP(B3466,辅助信息!E:I,4,FALSE)</f>
        <v>张扬</v>
      </c>
      <c r="K3466" s="120">
        <f>VLOOKUP(J3466,辅助信息!H:I,2,FALSE)</f>
        <v>18381904567</v>
      </c>
      <c r="L3466" s="122" t="str">
        <f>VLOOKUP(B3466,辅助信息!E:J,6,FALSE)</f>
        <v>控制炉批号！多了现场不收！,优先安排达钢,提前联系到场规格及数量</v>
      </c>
      <c r="O3466" s="62" t="str">
        <f ca="1" t="shared" si="190"/>
        <v/>
      </c>
      <c r="P3466" s="62"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0" t="s">
        <v>208</v>
      </c>
      <c r="C3467" s="70">
        <v>45916</v>
      </c>
      <c r="D3467" s="120" t="str">
        <f>VLOOKUP(B3467,辅助信息!E:K,7,FALSE)</f>
        <v>JWDDCD2025102100480</v>
      </c>
      <c r="E3467" s="120" t="str">
        <f>VLOOKUP(F3467,辅助信息!A:B,2,FALSE)</f>
        <v>高线</v>
      </c>
      <c r="F3467" s="120" t="s">
        <v>61</v>
      </c>
      <c r="G3467" s="121">
        <v>5</v>
      </c>
      <c r="H3467" s="134">
        <f>IF(SUMIFS('[1]2025年已发货'!$E:$E,'[1]2025年已发货'!$F:$F,C3467,'[1]2025年已发货'!$C:$C,F3467,'[1]2025年已发货'!$G:$G,I3467,'[1]2025年已发货'!$H:$H,J3467)=0,"未发货",SUMIFS('[1]2025年已发货'!$E:$E,'[1]2025年已发货'!$F:$F,C3467,'[1]2025年已发货'!$C:$C,F3467,'[1]2025年已发货'!$G:$G,I3467,'[1]2025年已发货'!$H:$H,J3467))</f>
        <v>5</v>
      </c>
      <c r="I3467" s="120" t="str">
        <f>VLOOKUP(B3467,辅助信息!E:I,3,FALSE)</f>
        <v>(五冶建设锦江区林家坝片区20号地块商业项目)锦江区泰昌路锦江28亩项目部</v>
      </c>
      <c r="J3467" s="120" t="str">
        <f>VLOOKUP(B3467,辅助信息!E:I,4,FALSE)</f>
        <v>陶杰</v>
      </c>
      <c r="K3467" s="120">
        <f>VLOOKUP(J3467,辅助信息!H:I,2,FALSE)</f>
        <v>13980247952</v>
      </c>
      <c r="L3467" s="122" t="str">
        <f>VLOOKUP(B3467,辅助信息!E:J,6,FALSE)</f>
        <v>联系实际收货人（陶杰13980247952）五冶建设送货单,6份材质书,锈货不收，装货前联系收货人核实到场规格,没提前告知进场规格现场不给予接收</v>
      </c>
      <c r="M3467" s="91">
        <v>45917</v>
      </c>
      <c r="N3467" s="91"/>
      <c r="O3467" s="62">
        <f ca="1" t="shared" si="190"/>
        <v>0</v>
      </c>
      <c r="P3467" s="62">
        <f ca="1" t="shared" si="191"/>
        <v>43</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0" t="s">
        <v>208</v>
      </c>
      <c r="C3468" s="70">
        <v>45916</v>
      </c>
      <c r="D3468" s="120" t="str">
        <f>VLOOKUP(B3468,辅助信息!E:K,7,FALSE)</f>
        <v>JWDDCD2025102100480</v>
      </c>
      <c r="E3468" s="120" t="str">
        <f>VLOOKUP(F3468,辅助信息!A:B,2,FALSE)</f>
        <v>螺纹钢</v>
      </c>
      <c r="F3468" s="120" t="s">
        <v>30</v>
      </c>
      <c r="G3468" s="121">
        <v>7.5</v>
      </c>
      <c r="H3468" s="134">
        <f>IF(SUMIFS('[1]2025年已发货'!$E:$E,'[1]2025年已发货'!$F:$F,C3468,'[1]2025年已发货'!$C:$C,F3468,'[1]2025年已发货'!$G:$G,I3468,'[1]2025年已发货'!$H:$H,J3468)=0,"未发货",SUMIFS('[1]2025年已发货'!$E:$E,'[1]2025年已发货'!$F:$F,C3468,'[1]2025年已发货'!$C:$C,F3468,'[1]2025年已发货'!$G:$G,I3468,'[1]2025年已发货'!$H:$H,J3468))</f>
        <v>5</v>
      </c>
      <c r="I3468" s="120" t="str">
        <f>VLOOKUP(B3468,辅助信息!E:I,3,FALSE)</f>
        <v>(五冶建设锦江区林家坝片区20号地块商业项目)锦江区泰昌路锦江28亩项目部</v>
      </c>
      <c r="J3468" s="120" t="str">
        <f>VLOOKUP(B3468,辅助信息!E:I,4,FALSE)</f>
        <v>陶杰</v>
      </c>
      <c r="K3468" s="120">
        <f>VLOOKUP(J3468,辅助信息!H:I,2,FALSE)</f>
        <v>13980247952</v>
      </c>
      <c r="L3468" s="122" t="str">
        <f>VLOOKUP(B3468,辅助信息!E:J,6,FALSE)</f>
        <v>联系实际收货人（陶杰13980247952）五冶建设送货单,6份材质书,锈货不收，装货前联系收货人核实到场规格,没提前告知进场规格现场不给予接收</v>
      </c>
      <c r="M3468" s="91">
        <v>45917</v>
      </c>
      <c r="N3468" s="91"/>
      <c r="O3468" s="62">
        <f ca="1" t="shared" si="190"/>
        <v>0</v>
      </c>
      <c r="P3468" s="62">
        <f ca="1" t="shared" si="191"/>
        <v>43</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0" t="s">
        <v>208</v>
      </c>
      <c r="C3469" s="70">
        <v>45916</v>
      </c>
      <c r="D3469" s="120" t="str">
        <f>VLOOKUP(B3469,辅助信息!E:K,7,FALSE)</f>
        <v>JWDDCD2025102100480</v>
      </c>
      <c r="E3469" s="120" t="str">
        <f>VLOOKUP(F3469,辅助信息!A:B,2,FALSE)</f>
        <v>螺纹钢</v>
      </c>
      <c r="F3469" s="120" t="s">
        <v>28</v>
      </c>
      <c r="G3469" s="121">
        <v>23.5</v>
      </c>
      <c r="H3469" s="134">
        <f>IF(SUMIFS('[1]2025年已发货'!$E:$E,'[1]2025年已发货'!$F:$F,C3469,'[1]2025年已发货'!$C:$C,F3469,'[1]2025年已发货'!$G:$G,I3469,'[1]2025年已发货'!$H:$H,J3469)=0,"未发货",SUMIFS('[1]2025年已发货'!$E:$E,'[1]2025年已发货'!$F:$F,C3469,'[1]2025年已发货'!$C:$C,F3469,'[1]2025年已发货'!$G:$G,I3469,'[1]2025年已发货'!$H:$H,J3469))</f>
        <v>26</v>
      </c>
      <c r="I3469" s="120" t="str">
        <f>VLOOKUP(B3469,辅助信息!E:I,3,FALSE)</f>
        <v>(五冶建设锦江区林家坝片区20号地块商业项目)锦江区泰昌路锦江28亩项目部</v>
      </c>
      <c r="J3469" s="120" t="str">
        <f>VLOOKUP(B3469,辅助信息!E:I,4,FALSE)</f>
        <v>陶杰</v>
      </c>
      <c r="K3469" s="120">
        <f>VLOOKUP(J3469,辅助信息!H:I,2,FALSE)</f>
        <v>13980247952</v>
      </c>
      <c r="L3469" s="122" t="str">
        <f>VLOOKUP(B3469,辅助信息!E:J,6,FALSE)</f>
        <v>联系实际收货人（陶杰13980247952）五冶建设送货单,6份材质书,锈货不收，装货前联系收货人核实到场规格,没提前告知进场规格现场不给予接收</v>
      </c>
      <c r="M3469" s="91">
        <v>45917</v>
      </c>
      <c r="N3469" s="91"/>
      <c r="O3469" s="62">
        <f ca="1" t="shared" si="190"/>
        <v>0</v>
      </c>
      <c r="P3469" s="62">
        <f ca="1" t="shared" si="191"/>
        <v>43</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0" t="s">
        <v>163</v>
      </c>
      <c r="C3470" s="70">
        <v>45918</v>
      </c>
      <c r="D3470" s="120" t="str">
        <f>VLOOKUP(B3470,辅助信息!E:K,7,FALSE)</f>
        <v>JWDDCD2025052800131</v>
      </c>
      <c r="E3470" s="120" t="str">
        <f>VLOOKUP(F3470,辅助信息!A:B,2,FALSE)</f>
        <v>盘螺</v>
      </c>
      <c r="F3470" s="120" t="s">
        <v>49</v>
      </c>
      <c r="G3470" s="121">
        <v>6</v>
      </c>
      <c r="H3470" s="134"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0" t="str">
        <f>VLOOKUP(B3470,辅助信息!E:I,3,FALSE)</f>
        <v>（商投建工达州中医药科技园-4工区-9号楼）达州市通川区达州中医药职业学院犀牛大道北段</v>
      </c>
      <c r="J3470" s="120" t="str">
        <f>VLOOKUP(B3470,辅助信息!E:I,4,FALSE)</f>
        <v>张扬</v>
      </c>
      <c r="K3470" s="120">
        <f>VLOOKUP(J3470,辅助信息!H:I,2,FALSE)</f>
        <v>18381904567</v>
      </c>
      <c r="L3470" s="122" t="str">
        <f>VLOOKUP(B3470,辅助信息!E:J,6,FALSE)</f>
        <v>控制炉批号！多了现场不收！,优先安排达钢,提前联系到场规格及数量</v>
      </c>
      <c r="M3470" s="91">
        <v>45918</v>
      </c>
      <c r="O3470" s="62">
        <f ca="1" t="shared" si="190"/>
        <v>0</v>
      </c>
      <c r="P3470" s="62">
        <f ca="1" t="shared" si="191"/>
        <v>42</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0" t="s">
        <v>163</v>
      </c>
      <c r="C3471" s="70">
        <v>45918</v>
      </c>
      <c r="D3471" s="120" t="str">
        <f>VLOOKUP(B3471,辅助信息!E:K,7,FALSE)</f>
        <v>JWDDCD2025052800131</v>
      </c>
      <c r="E3471" s="120" t="str">
        <f>VLOOKUP(F3471,辅助信息!A:B,2,FALSE)</f>
        <v>盘螺</v>
      </c>
      <c r="F3471" s="120" t="s">
        <v>40</v>
      </c>
      <c r="G3471" s="121">
        <v>12</v>
      </c>
      <c r="H3471" s="134"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0" t="str">
        <f>VLOOKUP(B3471,辅助信息!E:I,3,FALSE)</f>
        <v>（商投建工达州中医药科技园-4工区-9号楼）达州市通川区达州中医药职业学院犀牛大道北段</v>
      </c>
      <c r="J3471" s="120" t="str">
        <f>VLOOKUP(B3471,辅助信息!E:I,4,FALSE)</f>
        <v>张扬</v>
      </c>
      <c r="K3471" s="120">
        <f>VLOOKUP(J3471,辅助信息!H:I,2,FALSE)</f>
        <v>18381904567</v>
      </c>
      <c r="L3471" s="122" t="str">
        <f>VLOOKUP(B3471,辅助信息!E:J,6,FALSE)</f>
        <v>控制炉批号！多了现场不收！,优先安排达钢,提前联系到场规格及数量</v>
      </c>
      <c r="M3471" s="91">
        <v>45918</v>
      </c>
      <c r="O3471" s="62">
        <f ca="1" t="shared" si="190"/>
        <v>0</v>
      </c>
      <c r="P3471" s="62">
        <f ca="1" t="shared" si="191"/>
        <v>42</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0" t="s">
        <v>163</v>
      </c>
      <c r="C3472" s="70">
        <v>45918</v>
      </c>
      <c r="D3472" s="120" t="str">
        <f>VLOOKUP(B3472,辅助信息!E:K,7,FALSE)</f>
        <v>JWDDCD2025052800131</v>
      </c>
      <c r="E3472" s="120" t="str">
        <f>VLOOKUP(F3472,辅助信息!A:B,2,FALSE)</f>
        <v>盘螺</v>
      </c>
      <c r="F3472" s="120" t="s">
        <v>41</v>
      </c>
      <c r="G3472" s="121">
        <v>12</v>
      </c>
      <c r="H3472" s="134"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0" t="str">
        <f>VLOOKUP(B3472,辅助信息!E:I,3,FALSE)</f>
        <v>（商投建工达州中医药科技园-4工区-9号楼）达州市通川区达州中医药职业学院犀牛大道北段</v>
      </c>
      <c r="J3472" s="120" t="str">
        <f>VLOOKUP(B3472,辅助信息!E:I,4,FALSE)</f>
        <v>张扬</v>
      </c>
      <c r="K3472" s="120">
        <f>VLOOKUP(J3472,辅助信息!H:I,2,FALSE)</f>
        <v>18381904567</v>
      </c>
      <c r="L3472" s="122" t="str">
        <f>VLOOKUP(B3472,辅助信息!E:J,6,FALSE)</f>
        <v>控制炉批号！多了现场不收！,优先安排达钢,提前联系到场规格及数量</v>
      </c>
      <c r="M3472" s="91">
        <v>45918</v>
      </c>
      <c r="O3472" s="62">
        <f ca="1" t="shared" si="190"/>
        <v>0</v>
      </c>
      <c r="P3472" s="62">
        <f ca="1" t="shared" si="191"/>
        <v>42</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0" t="s">
        <v>163</v>
      </c>
      <c r="C3473" s="70">
        <v>45918</v>
      </c>
      <c r="D3473" s="120" t="str">
        <f>VLOOKUP(B3473,辅助信息!E:K,7,FALSE)</f>
        <v>JWDDCD2025052800131</v>
      </c>
      <c r="E3473" s="120" t="str">
        <f>VLOOKUP(F3473,辅助信息!A:B,2,FALSE)</f>
        <v>螺纹钢</v>
      </c>
      <c r="F3473" s="120" t="s">
        <v>33</v>
      </c>
      <c r="G3473" s="121">
        <v>6</v>
      </c>
      <c r="H3473" s="134"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0" t="str">
        <f>VLOOKUP(B3473,辅助信息!E:I,3,FALSE)</f>
        <v>（商投建工达州中医药科技园-4工区-9号楼）达州市通川区达州中医药职业学院犀牛大道北段</v>
      </c>
      <c r="J3473" s="120" t="str">
        <f>VLOOKUP(B3473,辅助信息!E:I,4,FALSE)</f>
        <v>张扬</v>
      </c>
      <c r="K3473" s="120">
        <f>VLOOKUP(J3473,辅助信息!H:I,2,FALSE)</f>
        <v>18381904567</v>
      </c>
      <c r="L3473" s="122" t="str">
        <f>VLOOKUP(B3473,辅助信息!E:J,6,FALSE)</f>
        <v>控制炉批号！多了现场不收！,优先安排达钢,提前联系到场规格及数量</v>
      </c>
      <c r="M3473" s="91">
        <v>45918</v>
      </c>
      <c r="O3473" s="62">
        <f ca="1" t="shared" si="190"/>
        <v>0</v>
      </c>
      <c r="P3473" s="62">
        <f ca="1" t="shared" si="191"/>
        <v>42</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0" t="s">
        <v>163</v>
      </c>
      <c r="C3474" s="70">
        <v>45918</v>
      </c>
      <c r="D3474" s="120" t="str">
        <f>VLOOKUP(B3474,辅助信息!E:K,7,FALSE)</f>
        <v>JWDDCD2025052800131</v>
      </c>
      <c r="E3474" s="120" t="str">
        <f>VLOOKUP(F3474,辅助信息!A:B,2,FALSE)</f>
        <v>螺纹钢</v>
      </c>
      <c r="F3474" s="120" t="s">
        <v>66</v>
      </c>
      <c r="G3474" s="121">
        <v>18</v>
      </c>
      <c r="H3474" s="134"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0" t="str">
        <f>VLOOKUP(B3474,辅助信息!E:I,3,FALSE)</f>
        <v>（商投建工达州中医药科技园-4工区-9号楼）达州市通川区达州中医药职业学院犀牛大道北段</v>
      </c>
      <c r="J3474" s="120" t="str">
        <f>VLOOKUP(B3474,辅助信息!E:I,4,FALSE)</f>
        <v>张扬</v>
      </c>
      <c r="K3474" s="120">
        <f>VLOOKUP(J3474,辅助信息!H:I,2,FALSE)</f>
        <v>18381904567</v>
      </c>
      <c r="L3474" s="122" t="str">
        <f>VLOOKUP(B3474,辅助信息!E:J,6,FALSE)</f>
        <v>控制炉批号！多了现场不收！,优先安排达钢,提前联系到场规格及数量</v>
      </c>
      <c r="M3474" s="91">
        <v>45918</v>
      </c>
      <c r="O3474" s="62">
        <f ca="1" t="shared" si="190"/>
        <v>0</v>
      </c>
      <c r="P3474" s="62">
        <f ca="1" t="shared" si="191"/>
        <v>42</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0" t="s">
        <v>163</v>
      </c>
      <c r="C3475" s="70">
        <v>45918</v>
      </c>
      <c r="D3475" s="120" t="str">
        <f>VLOOKUP(B3475,辅助信息!E:K,7,FALSE)</f>
        <v>JWDDCD2025052800131</v>
      </c>
      <c r="E3475" s="120" t="str">
        <f>VLOOKUP(F3475,辅助信息!A:B,2,FALSE)</f>
        <v>螺纹钢</v>
      </c>
      <c r="F3475" s="120" t="s">
        <v>58</v>
      </c>
      <c r="G3475" s="121">
        <v>15</v>
      </c>
      <c r="H3475" s="134"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0" t="str">
        <f>VLOOKUP(B3475,辅助信息!E:I,3,FALSE)</f>
        <v>（商投建工达州中医药科技园-4工区-9号楼）达州市通川区达州中医药职业学院犀牛大道北段</v>
      </c>
      <c r="J3475" s="120" t="str">
        <f>VLOOKUP(B3475,辅助信息!E:I,4,FALSE)</f>
        <v>张扬</v>
      </c>
      <c r="K3475" s="120">
        <f>VLOOKUP(J3475,辅助信息!H:I,2,FALSE)</f>
        <v>18381904567</v>
      </c>
      <c r="L3475" s="122" t="str">
        <f>VLOOKUP(B3475,辅助信息!E:J,6,FALSE)</f>
        <v>控制炉批号！多了现场不收！,优先安排达钢,提前联系到场规格及数量</v>
      </c>
      <c r="M3475" s="91">
        <v>45918</v>
      </c>
      <c r="O3475" s="62">
        <f ca="1" t="shared" si="190"/>
        <v>0</v>
      </c>
      <c r="P3475" s="62">
        <f ca="1" t="shared" si="191"/>
        <v>42</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0">
        <v>45918</v>
      </c>
      <c r="D3476" s="40" t="str">
        <f>VLOOKUP(B3476,辅助信息!E:K,7,FALSE)</f>
        <v>JWDDCD2025062200016</v>
      </c>
      <c r="E3476" s="40" t="str">
        <f>VLOOKUP(F3476,辅助信息!A:B,2,FALSE)</f>
        <v>盘螺</v>
      </c>
      <c r="F3476" s="40" t="s">
        <v>40</v>
      </c>
      <c r="G3476" s="36">
        <v>5</v>
      </c>
      <c r="H3476" s="134"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09" t="str">
        <f>VLOOKUP(B3476,辅助信息!E:J,6,FALSE)</f>
        <v>锈货不收！！下雨天钢筋没盖篷布不收！！，装货前联系收货人核实到场规格,没提前告知进场规格现场不给予接收</v>
      </c>
      <c r="O3476" s="62" t="str">
        <f ca="1" t="shared" si="190"/>
        <v/>
      </c>
      <c r="P3476" s="62"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0">
        <v>45918</v>
      </c>
      <c r="D3477" s="40" t="str">
        <f>VLOOKUP(B3477,辅助信息!E:K,7,FALSE)</f>
        <v>JWDDCD2025062200016</v>
      </c>
      <c r="E3477" s="40" t="str">
        <f>VLOOKUP(F3477,辅助信息!A:B,2,FALSE)</f>
        <v>螺纹钢</v>
      </c>
      <c r="F3477" s="40" t="s">
        <v>30</v>
      </c>
      <c r="G3477" s="36">
        <v>9</v>
      </c>
      <c r="H3477" s="134"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09" t="str">
        <f>VLOOKUP(B3477,辅助信息!E:J,6,FALSE)</f>
        <v>锈货不收！！下雨天钢筋没盖篷布不收！！，装货前联系收货人核实到场规格,没提前告知进场规格现场不给予接收</v>
      </c>
      <c r="O3477" s="62" t="str">
        <f ca="1" t="shared" si="190"/>
        <v/>
      </c>
      <c r="P3477" s="62"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0">
        <v>45918</v>
      </c>
      <c r="D3478" s="40" t="str">
        <f>VLOOKUP(B3478,辅助信息!E:K,7,FALSE)</f>
        <v>JWDDCD2025062200016</v>
      </c>
      <c r="E3478" s="40" t="str">
        <f>VLOOKUP(F3478,辅助信息!A:B,2,FALSE)</f>
        <v>螺纹钢</v>
      </c>
      <c r="F3478" s="40" t="s">
        <v>90</v>
      </c>
      <c r="G3478" s="36">
        <v>12</v>
      </c>
      <c r="H3478" s="134"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09" t="str">
        <f>VLOOKUP(B3478,辅助信息!E:J,6,FALSE)</f>
        <v>锈货不收！！下雨天钢筋没盖篷布不收！！，装货前联系收货人核实到场规格,没提前告知进场规格现场不给予接收</v>
      </c>
      <c r="O3478" s="62" t="str">
        <f ca="1" t="shared" si="190"/>
        <v/>
      </c>
      <c r="P3478" s="62"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0">
        <v>45918</v>
      </c>
      <c r="D3479" s="40" t="str">
        <f>VLOOKUP(B3479,辅助信息!E:K,7,FALSE)</f>
        <v>JWDDCD2025062200016</v>
      </c>
      <c r="E3479" s="40" t="str">
        <f>VLOOKUP(F3479,辅助信息!A:B,2,FALSE)</f>
        <v>螺纹钢</v>
      </c>
      <c r="F3479" s="40" t="s">
        <v>133</v>
      </c>
      <c r="G3479" s="36">
        <v>9</v>
      </c>
      <c r="H3479" s="134"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09" t="str">
        <f>VLOOKUP(B3479,辅助信息!E:J,6,FALSE)</f>
        <v>锈货不收！！下雨天钢筋没盖篷布不收！！，装货前联系收货人核实到场规格,没提前告知进场规格现场不给予接收</v>
      </c>
      <c r="O3479" s="62" t="str">
        <f ca="1" t="shared" si="190"/>
        <v/>
      </c>
      <c r="P3479" s="62"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0">
        <v>45918</v>
      </c>
      <c r="D3480" s="40" t="str">
        <f>VLOOKUP(B3480,辅助信息!E:K,7,FALSE)</f>
        <v>JWDDCD2025052800131</v>
      </c>
      <c r="E3480" s="40" t="str">
        <f>VLOOKUP(F3480,辅助信息!A:B,2,FALSE)</f>
        <v>盘螺</v>
      </c>
      <c r="F3480" s="120" t="s">
        <v>40</v>
      </c>
      <c r="G3480" s="36">
        <v>35</v>
      </c>
      <c r="H3480" s="134"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09" t="str">
        <f>VLOOKUP(B3480,辅助信息!E:J,6,FALSE)</f>
        <v>控制炉批号！多了现场不收！,优先安排达钢,提前联系到场规格及数量</v>
      </c>
      <c r="M3480" s="91">
        <v>45919</v>
      </c>
      <c r="O3480" s="62">
        <f ca="1" t="shared" si="190"/>
        <v>0</v>
      </c>
      <c r="P3480" s="62">
        <f ca="1" t="shared" si="191"/>
        <v>41</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0">
        <v>45918</v>
      </c>
      <c r="D3481" s="40" t="str">
        <f>VLOOKUP(B3481,辅助信息!E:K,7,FALSE)</f>
        <v>JWDDCD2025052800131</v>
      </c>
      <c r="E3481" s="40" t="str">
        <f>VLOOKUP(F3481,辅助信息!A:B,2,FALSE)</f>
        <v>盘螺</v>
      </c>
      <c r="F3481" s="40" t="s">
        <v>41</v>
      </c>
      <c r="G3481" s="36">
        <v>12.5</v>
      </c>
      <c r="H3481" s="134"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09" t="str">
        <f>VLOOKUP(B3481,辅助信息!E:J,6,FALSE)</f>
        <v>控制炉批号！多了现场不收！,优先安排达钢,提前联系到场规格及数量</v>
      </c>
      <c r="M3481" s="91">
        <v>45919</v>
      </c>
      <c r="O3481" s="62">
        <f ca="1" t="shared" si="190"/>
        <v>0</v>
      </c>
      <c r="P3481" s="62">
        <f ca="1" t="shared" si="191"/>
        <v>41</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0">
        <v>45918</v>
      </c>
      <c r="D3482" s="40" t="str">
        <f>VLOOKUP(B3482,辅助信息!E:K,7,FALSE)</f>
        <v>JWDD2025071500089</v>
      </c>
      <c r="E3482" s="40" t="str">
        <f>VLOOKUP(F3482,辅助信息!A:B,2,FALSE)</f>
        <v>盘螺</v>
      </c>
      <c r="F3482" s="40" t="s">
        <v>40</v>
      </c>
      <c r="G3482" s="36">
        <v>10</v>
      </c>
      <c r="H3482" s="134">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09" t="str">
        <f>VLOOKUP(B3482,辅助信息!E:J,6,FALSE)</f>
        <v>现场要求调度统一联系指定收货人，不单独发司机位置。锈货不收，装货前联系收货人核实到场规格,没提前告知进场规格现场不给予接收</v>
      </c>
      <c r="M3482" s="91">
        <v>45918</v>
      </c>
      <c r="O3482" s="62">
        <f ca="1" t="shared" si="190"/>
        <v>0</v>
      </c>
      <c r="P3482" s="62">
        <f ca="1" t="shared" si="191"/>
        <v>42</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0">
        <v>45918</v>
      </c>
      <c r="D3483" s="40" t="str">
        <f>VLOOKUP(B3483,辅助信息!E:K,7,FALSE)</f>
        <v>JWDD2025071500089</v>
      </c>
      <c r="E3483" s="40" t="str">
        <f>VLOOKUP(F3483,辅助信息!A:B,2,FALSE)</f>
        <v>盘螺</v>
      </c>
      <c r="F3483" s="40" t="s">
        <v>41</v>
      </c>
      <c r="G3483" s="36">
        <v>10</v>
      </c>
      <c r="H3483" s="134">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09" t="str">
        <f>VLOOKUP(B3483,辅助信息!E:J,6,FALSE)</f>
        <v>现场要求调度统一联系指定收货人，不单独发司机位置。锈货不收，装货前联系收货人核实到场规格,没提前告知进场规格现场不给予接收</v>
      </c>
      <c r="M3483" s="91">
        <v>45918</v>
      </c>
      <c r="O3483" s="62">
        <f ca="1" t="shared" si="190"/>
        <v>0</v>
      </c>
      <c r="P3483" s="62">
        <f ca="1" t="shared" si="191"/>
        <v>42</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0">
        <v>45918</v>
      </c>
      <c r="D3484" s="40" t="str">
        <f>VLOOKUP(B3484,辅助信息!E:K,7,FALSE)</f>
        <v>JWDD2025071500089</v>
      </c>
      <c r="E3484" s="40" t="str">
        <f>VLOOKUP(F3484,辅助信息!A:B,2,FALSE)</f>
        <v>盘螺</v>
      </c>
      <c r="F3484" s="40" t="s">
        <v>26</v>
      </c>
      <c r="G3484" s="36">
        <v>10</v>
      </c>
      <c r="H3484" s="134">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09" t="str">
        <f>VLOOKUP(B3484,辅助信息!E:J,6,FALSE)</f>
        <v>现场要求调度统一联系指定收货人，不单独发司机位置。锈货不收，装货前联系收货人核实到场规格,没提前告知进场规格现场不给予接收</v>
      </c>
      <c r="M3484" s="91">
        <v>45918</v>
      </c>
      <c r="O3484" s="62">
        <f ca="1" t="shared" si="190"/>
        <v>0</v>
      </c>
      <c r="P3484" s="62">
        <f ca="1" t="shared" si="191"/>
        <v>42</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0">
        <v>45918</v>
      </c>
      <c r="D3485" s="40" t="str">
        <f>VLOOKUP(B3485,辅助信息!E:K,7,FALSE)</f>
        <v>JWDD2025071500089</v>
      </c>
      <c r="E3485" s="40" t="str">
        <f>VLOOKUP(F3485,辅助信息!A:B,2,FALSE)</f>
        <v>螺纹钢</v>
      </c>
      <c r="F3485" s="40" t="s">
        <v>19</v>
      </c>
      <c r="G3485" s="36">
        <v>10</v>
      </c>
      <c r="H3485" s="134">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09" t="str">
        <f>VLOOKUP(B3485,辅助信息!E:J,6,FALSE)</f>
        <v>现场要求调度统一联系指定收货人，不单独发司机位置。锈货不收，装货前联系收货人核实到场规格,没提前告知进场规格现场不给予接收</v>
      </c>
      <c r="M3485" s="91">
        <v>45918</v>
      </c>
      <c r="O3485" s="62">
        <f ca="1" t="shared" si="190"/>
        <v>0</v>
      </c>
      <c r="P3485" s="62">
        <f ca="1" t="shared" si="191"/>
        <v>42</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0">
        <v>45918</v>
      </c>
      <c r="D3486" s="40" t="str">
        <f>VLOOKUP(B3486,辅助信息!E:K,7,FALSE)</f>
        <v>JWDD2025071500089</v>
      </c>
      <c r="E3486" s="40" t="str">
        <f>VLOOKUP(F3486,辅助信息!A:B,2,FALSE)</f>
        <v>螺纹钢</v>
      </c>
      <c r="F3486" s="40" t="s">
        <v>33</v>
      </c>
      <c r="G3486" s="36">
        <v>10</v>
      </c>
      <c r="H3486" s="134">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09" t="str">
        <f>VLOOKUP(B3486,辅助信息!E:J,6,FALSE)</f>
        <v>现场要求调度统一联系指定收货人，不单独发司机位置。锈货不收，装货前联系收货人核实到场规格,没提前告知进场规格现场不给予接收</v>
      </c>
      <c r="M3486" s="91">
        <v>45918</v>
      </c>
      <c r="O3486" s="62">
        <f ca="1" t="shared" si="190"/>
        <v>0</v>
      </c>
      <c r="P3486" s="62">
        <f ca="1" t="shared" si="191"/>
        <v>42</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0">
        <v>45918</v>
      </c>
      <c r="D3487" s="40" t="str">
        <f>VLOOKUP(B3487,辅助信息!E:K,7,FALSE)</f>
        <v>JWDD2025071500089</v>
      </c>
      <c r="E3487" s="40" t="str">
        <f>VLOOKUP(F3487,辅助信息!A:B,2,FALSE)</f>
        <v>螺纹钢</v>
      </c>
      <c r="F3487" s="40" t="s">
        <v>28</v>
      </c>
      <c r="G3487" s="36">
        <v>20</v>
      </c>
      <c r="H3487" s="134">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09" t="str">
        <f>VLOOKUP(B3487,辅助信息!E:J,6,FALSE)</f>
        <v>现场要求调度统一联系指定收货人，不单独发司机位置。锈货不收，装货前联系收货人核实到场规格,没提前告知进场规格现场不给予接收</v>
      </c>
      <c r="M3487" s="91">
        <v>45918</v>
      </c>
      <c r="O3487" s="62">
        <f ca="1" t="shared" si="190"/>
        <v>0</v>
      </c>
      <c r="P3487" s="62">
        <f ca="1" t="shared" si="191"/>
        <v>42</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0" t="s">
        <v>163</v>
      </c>
      <c r="C3488" s="70">
        <v>45918</v>
      </c>
      <c r="D3488" s="40" t="str">
        <f>VLOOKUP(B3488,辅助信息!E:K,7,FALSE)</f>
        <v>JWDDCD2025052800131</v>
      </c>
      <c r="E3488" s="40" t="str">
        <f>VLOOKUP(F3488,辅助信息!A:B,2,FALSE)</f>
        <v>螺纹钢</v>
      </c>
      <c r="F3488" s="120" t="s">
        <v>21</v>
      </c>
      <c r="G3488" s="36">
        <v>35</v>
      </c>
      <c r="H3488" s="134"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09" t="str">
        <f>VLOOKUP(B3488,辅助信息!E:J,6,FALSE)</f>
        <v>控制炉批号！多了现场不收！,优先安排达钢,提前联系到场规格及数量</v>
      </c>
      <c r="M3488" s="91">
        <v>45919</v>
      </c>
      <c r="O3488" s="62">
        <f ca="1" t="shared" ref="O3488:O3551" si="192">IF(OR(M3488="",N3488&lt;&gt;""),"",MAX(M3488-TODAY(),0))</f>
        <v>0</v>
      </c>
      <c r="P3488" s="62">
        <f ca="1" t="shared" ref="P3488:P3551" si="193">IF(M3488="","",IF(N3488&lt;&gt;"",MAX(N3488-M3488,0),IF(TODAY()&gt;M3488,TODAY()-M3488,0)))</f>
        <v>41</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0">
        <v>45918</v>
      </c>
      <c r="D3489" s="40" t="str">
        <f>VLOOKUP(B3489,辅助信息!E:K,7,FALSE)</f>
        <v>JWDDCD2025102100473</v>
      </c>
      <c r="E3489" s="40" t="str">
        <f>VLOOKUP(F3489,辅助信息!A:B,2,FALSE)</f>
        <v>盘螺</v>
      </c>
      <c r="F3489" s="40" t="s">
        <v>49</v>
      </c>
      <c r="G3489" s="36">
        <v>5</v>
      </c>
      <c r="H3489" s="134">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09"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1">
        <v>45921</v>
      </c>
      <c r="O3489" s="62">
        <f ca="1" t="shared" si="192"/>
        <v>0</v>
      </c>
      <c r="P3489" s="62">
        <f ca="1" t="shared" si="193"/>
        <v>39</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0">
        <v>45918</v>
      </c>
      <c r="D3490" s="40" t="str">
        <f>VLOOKUP(B3490,辅助信息!E:K,7,FALSE)</f>
        <v>JWDDCD2025102100473</v>
      </c>
      <c r="E3490" s="40" t="str">
        <f>VLOOKUP(F3490,辅助信息!A:B,2,FALSE)</f>
        <v>盘螺</v>
      </c>
      <c r="F3490" s="40" t="s">
        <v>40</v>
      </c>
      <c r="G3490" s="36">
        <v>20</v>
      </c>
      <c r="H3490" s="134">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09"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1">
        <v>45921</v>
      </c>
      <c r="O3490" s="62">
        <f ca="1" t="shared" si="192"/>
        <v>0</v>
      </c>
      <c r="P3490" s="62">
        <f ca="1" t="shared" si="193"/>
        <v>39</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0">
        <v>45918</v>
      </c>
      <c r="D3491" s="40" t="str">
        <f>VLOOKUP(B3491,辅助信息!E:K,7,FALSE)</f>
        <v>JWDDCD2025102100473</v>
      </c>
      <c r="E3491" s="40" t="str">
        <f>VLOOKUP(F3491,辅助信息!A:B,2,FALSE)</f>
        <v>盘螺</v>
      </c>
      <c r="F3491" s="40" t="s">
        <v>41</v>
      </c>
      <c r="G3491" s="36">
        <v>10</v>
      </c>
      <c r="H3491" s="134">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09"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1">
        <v>45921</v>
      </c>
      <c r="O3491" s="62">
        <f ca="1" t="shared" si="192"/>
        <v>0</v>
      </c>
      <c r="P3491" s="62">
        <f ca="1" t="shared" si="193"/>
        <v>39</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0">
        <v>45918</v>
      </c>
      <c r="D3492" s="40" t="str">
        <f>VLOOKUP(B3492,辅助信息!E:K,7,FALSE)</f>
        <v>JWDDCD2025102100473</v>
      </c>
      <c r="E3492" s="40" t="str">
        <f>VLOOKUP(F3492,辅助信息!A:B,2,FALSE)</f>
        <v>螺纹钢</v>
      </c>
      <c r="F3492" s="40" t="s">
        <v>27</v>
      </c>
      <c r="G3492" s="36">
        <v>30</v>
      </c>
      <c r="H3492" s="134"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09"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1">
        <v>45921</v>
      </c>
      <c r="O3492" s="62">
        <f ca="1" t="shared" si="192"/>
        <v>0</v>
      </c>
      <c r="P3492" s="62">
        <f ca="1" t="shared" si="193"/>
        <v>39</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0">
        <v>45918</v>
      </c>
      <c r="D3493" s="40" t="str">
        <f>VLOOKUP(B3493,辅助信息!E:K,7,FALSE)</f>
        <v>JWDDCD2025102100473</v>
      </c>
      <c r="E3493" s="40" t="str">
        <f>VLOOKUP(F3493,辅助信息!A:B,2,FALSE)</f>
        <v>螺纹钢</v>
      </c>
      <c r="F3493" s="40" t="s">
        <v>66</v>
      </c>
      <c r="G3493" s="36">
        <v>9</v>
      </c>
      <c r="H3493" s="134">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09"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1">
        <v>45921</v>
      </c>
      <c r="O3493" s="62">
        <f ca="1" t="shared" si="192"/>
        <v>0</v>
      </c>
      <c r="P3493" s="62">
        <f ca="1" t="shared" si="193"/>
        <v>39</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0">
        <v>45918</v>
      </c>
      <c r="D3494" s="40" t="str">
        <f>VLOOKUP(B3494,辅助信息!E:K,7,FALSE)</f>
        <v>JWDDCD2025102100473</v>
      </c>
      <c r="E3494" s="40" t="str">
        <f>VLOOKUP(F3494,辅助信息!A:B,2,FALSE)</f>
        <v>螺纹钢</v>
      </c>
      <c r="F3494" s="40" t="s">
        <v>21</v>
      </c>
      <c r="G3494" s="36">
        <v>6</v>
      </c>
      <c r="H3494" s="134"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09"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1">
        <v>45921</v>
      </c>
      <c r="O3494" s="62">
        <f ca="1" t="shared" si="192"/>
        <v>0</v>
      </c>
      <c r="P3494" s="62">
        <f ca="1" t="shared" si="193"/>
        <v>39</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0">
        <v>45918</v>
      </c>
      <c r="D3495" s="40" t="str">
        <f>VLOOKUP(B3495,辅助信息!E:K,7,FALSE)</f>
        <v>JWDDCD2025102100473</v>
      </c>
      <c r="E3495" s="40" t="str">
        <f>VLOOKUP(F3495,辅助信息!A:B,2,FALSE)</f>
        <v>螺纹钢</v>
      </c>
      <c r="F3495" s="40" t="s">
        <v>58</v>
      </c>
      <c r="G3495" s="36">
        <v>6</v>
      </c>
      <c r="H3495" s="134">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09"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1">
        <v>45921</v>
      </c>
      <c r="O3495" s="62">
        <f ca="1" t="shared" si="192"/>
        <v>0</v>
      </c>
      <c r="P3495" s="62">
        <f ca="1" t="shared" si="193"/>
        <v>39</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0">
        <v>45918</v>
      </c>
      <c r="D3496" s="40" t="str">
        <f>VLOOKUP(B3496,辅助信息!E:K,7,FALSE)</f>
        <v>JWDDCD2025102100473</v>
      </c>
      <c r="E3496" s="40" t="str">
        <f>VLOOKUP(F3496,辅助信息!A:B,2,FALSE)</f>
        <v>螺纹钢</v>
      </c>
      <c r="F3496" s="40" t="s">
        <v>22</v>
      </c>
      <c r="G3496" s="36">
        <v>20</v>
      </c>
      <c r="H3496" s="134">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09"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1">
        <v>45921</v>
      </c>
      <c r="O3496" s="62">
        <f ca="1" t="shared" si="192"/>
        <v>0</v>
      </c>
      <c r="P3496" s="62">
        <f ca="1" t="shared" si="193"/>
        <v>39</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0">
        <v>45918</v>
      </c>
      <c r="D3497" s="40" t="str">
        <f>VLOOKUP(B3497,辅助信息!E:K,7,FALSE)</f>
        <v>JWDDCD2025102100475</v>
      </c>
      <c r="E3497" s="40" t="str">
        <f>VLOOKUP(F3497,辅助信息!A:B,2,FALSE)</f>
        <v>盘螺</v>
      </c>
      <c r="F3497" s="40" t="s">
        <v>41</v>
      </c>
      <c r="G3497" s="36">
        <v>4</v>
      </c>
      <c r="H3497" s="134">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09"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1">
        <v>45921</v>
      </c>
      <c r="O3497" s="62">
        <f ca="1" t="shared" si="192"/>
        <v>0</v>
      </c>
      <c r="P3497" s="62">
        <f ca="1" t="shared" si="193"/>
        <v>39</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0">
        <v>45918</v>
      </c>
      <c r="D3498" s="40" t="str">
        <f>VLOOKUP(B3498,辅助信息!E:K,7,FALSE)</f>
        <v>JWDDCD2025102100475</v>
      </c>
      <c r="E3498" s="40" t="str">
        <f>VLOOKUP(F3498,辅助信息!A:B,2,FALSE)</f>
        <v>盘螺</v>
      </c>
      <c r="F3498" s="40" t="s">
        <v>26</v>
      </c>
      <c r="G3498" s="36">
        <v>13</v>
      </c>
      <c r="H3498" s="134">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09"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1">
        <v>45921</v>
      </c>
      <c r="O3498" s="62">
        <f ca="1" t="shared" si="192"/>
        <v>0</v>
      </c>
      <c r="P3498" s="62">
        <f ca="1" t="shared" si="193"/>
        <v>39</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0">
        <v>45918</v>
      </c>
      <c r="D3499" s="40" t="str">
        <f>VLOOKUP(B3499,辅助信息!E:K,7,FALSE)</f>
        <v>JWDDCD2025102100475</v>
      </c>
      <c r="E3499" s="40" t="str">
        <f>VLOOKUP(F3499,辅助信息!A:B,2,FALSE)</f>
        <v>螺纹钢</v>
      </c>
      <c r="F3499" s="40" t="s">
        <v>19</v>
      </c>
      <c r="G3499" s="36">
        <v>11</v>
      </c>
      <c r="H3499" s="134">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09"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1">
        <v>45921</v>
      </c>
      <c r="O3499" s="62">
        <f ca="1" t="shared" si="192"/>
        <v>0</v>
      </c>
      <c r="P3499" s="62">
        <f ca="1" t="shared" si="193"/>
        <v>39</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0">
        <v>45918</v>
      </c>
      <c r="D3500" s="40" t="str">
        <f>VLOOKUP(B3500,辅助信息!E:K,7,FALSE)</f>
        <v>JWDDCD2025102100475</v>
      </c>
      <c r="E3500" s="40" t="str">
        <f>VLOOKUP(F3500,辅助信息!A:B,2,FALSE)</f>
        <v>螺纹钢</v>
      </c>
      <c r="F3500" s="40" t="s">
        <v>32</v>
      </c>
      <c r="G3500" s="36">
        <v>3</v>
      </c>
      <c r="H3500" s="134">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09"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1">
        <v>45921</v>
      </c>
      <c r="O3500" s="62">
        <f ca="1" t="shared" si="192"/>
        <v>0</v>
      </c>
      <c r="P3500" s="62">
        <f ca="1" t="shared" si="193"/>
        <v>39</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0">
        <v>45918</v>
      </c>
      <c r="D3501" s="40" t="str">
        <f>VLOOKUP(B3501,辅助信息!E:K,7,FALSE)</f>
        <v>JWDDCD2025102100475</v>
      </c>
      <c r="E3501" s="40" t="str">
        <f>VLOOKUP(F3501,辅助信息!A:B,2,FALSE)</f>
        <v>螺纹钢</v>
      </c>
      <c r="F3501" s="40" t="s">
        <v>30</v>
      </c>
      <c r="G3501" s="36">
        <v>25</v>
      </c>
      <c r="H3501" s="134"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09"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1">
        <v>45921</v>
      </c>
      <c r="O3501" s="62">
        <f ca="1" t="shared" si="192"/>
        <v>0</v>
      </c>
      <c r="P3501" s="62">
        <f ca="1" t="shared" si="193"/>
        <v>39</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0">
        <v>45918</v>
      </c>
      <c r="D3502" s="40" t="str">
        <f>VLOOKUP(B3502,辅助信息!E:K,7,FALSE)</f>
        <v>JWDDCD2025102100475</v>
      </c>
      <c r="E3502" s="40" t="str">
        <f>VLOOKUP(F3502,辅助信息!A:B,2,FALSE)</f>
        <v>螺纹钢</v>
      </c>
      <c r="F3502" s="40" t="s">
        <v>33</v>
      </c>
      <c r="G3502" s="36">
        <v>10</v>
      </c>
      <c r="H3502" s="134">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09"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1">
        <v>45921</v>
      </c>
      <c r="O3502" s="62">
        <f ca="1" t="shared" si="192"/>
        <v>0</v>
      </c>
      <c r="P3502" s="62">
        <f ca="1" t="shared" si="193"/>
        <v>39</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0">
        <v>45918</v>
      </c>
      <c r="D3503" s="40" t="str">
        <f>VLOOKUP(B3503,辅助信息!E:K,7,FALSE)</f>
        <v>JWDDCD2025102100475</v>
      </c>
      <c r="E3503" s="40" t="str">
        <f>VLOOKUP(F3503,辅助信息!A:B,2,FALSE)</f>
        <v>螺纹钢</v>
      </c>
      <c r="F3503" s="40" t="s">
        <v>28</v>
      </c>
      <c r="G3503" s="36">
        <v>10</v>
      </c>
      <c r="H3503" s="134"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09"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1">
        <v>45921</v>
      </c>
      <c r="O3503" s="62">
        <f ca="1" t="shared" si="192"/>
        <v>0</v>
      </c>
      <c r="P3503" s="62">
        <f ca="1" t="shared" si="193"/>
        <v>39</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0">
        <v>45918</v>
      </c>
      <c r="D3504" s="40" t="str">
        <f>VLOOKUP(B3504,辅助信息!E:K,7,FALSE)</f>
        <v>JWDDCD2025060900080</v>
      </c>
      <c r="E3504" s="40" t="str">
        <f>VLOOKUP(F3504,辅助信息!A:B,2,FALSE)</f>
        <v>盘螺</v>
      </c>
      <c r="F3504" s="40" t="s">
        <v>49</v>
      </c>
      <c r="G3504" s="36">
        <v>15</v>
      </c>
      <c r="H3504" s="134"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09" t="str">
        <f>VLOOKUP(B3504,辅助信息!E:J,6,FALSE)</f>
        <v>现场禁止使用氢能源挂车！优先威钢发货,我方卸车,新老国标钢厂不加价可直发，因陕钢多次出现磅差，项目拒绝使用</v>
      </c>
      <c r="O3504" s="62" t="str">
        <f ca="1" t="shared" si="192"/>
        <v/>
      </c>
      <c r="P3504" s="62"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0">
        <v>45918</v>
      </c>
      <c r="D3505" s="40" t="str">
        <f>VLOOKUP(B3505,辅助信息!E:K,7,FALSE)</f>
        <v>JWDDCD2025060900080</v>
      </c>
      <c r="E3505" s="40" t="str">
        <f>VLOOKUP(F3505,辅助信息!A:B,2,FALSE)</f>
        <v>盘螺</v>
      </c>
      <c r="F3505" s="40" t="s">
        <v>40</v>
      </c>
      <c r="G3505" s="36">
        <v>100</v>
      </c>
      <c r="H3505" s="134"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09" t="str">
        <f>VLOOKUP(B3505,辅助信息!E:J,6,FALSE)</f>
        <v>现场禁止使用氢能源挂车！优先威钢发货,我方卸车,新老国标钢厂不加价可直发，因陕钢多次出现磅差，项目拒绝使用</v>
      </c>
      <c r="O3505" s="62" t="str">
        <f ca="1" t="shared" si="192"/>
        <v/>
      </c>
      <c r="P3505" s="62"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0">
        <v>45918</v>
      </c>
      <c r="D3506" s="40" t="str">
        <f>VLOOKUP(B3506,辅助信息!E:K,7,FALSE)</f>
        <v>JWDDCD2025060900080</v>
      </c>
      <c r="E3506" s="40" t="str">
        <f>VLOOKUP(F3506,辅助信息!A:B,2,FALSE)</f>
        <v>盘螺</v>
      </c>
      <c r="F3506" s="40" t="s">
        <v>41</v>
      </c>
      <c r="G3506" s="36">
        <v>30</v>
      </c>
      <c r="H3506" s="134"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09" t="str">
        <f>VLOOKUP(B3506,辅助信息!E:J,6,FALSE)</f>
        <v>现场禁止使用氢能源挂车！优先威钢发货,我方卸车,新老国标钢厂不加价可直发，因陕钢多次出现磅差，项目拒绝使用</v>
      </c>
      <c r="O3506" s="62" t="str">
        <f ca="1" t="shared" si="192"/>
        <v/>
      </c>
      <c r="P3506" s="62"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0">
        <v>45918</v>
      </c>
      <c r="D3507" s="40" t="str">
        <f>VLOOKUP(B3507,辅助信息!E:K,7,FALSE)</f>
        <v>JWDDCD2025060900080</v>
      </c>
      <c r="E3507" s="40" t="str">
        <f>VLOOKUP(F3507,辅助信息!A:B,2,FALSE)</f>
        <v>盘螺</v>
      </c>
      <c r="F3507" s="40" t="s">
        <v>26</v>
      </c>
      <c r="G3507" s="36">
        <v>30</v>
      </c>
      <c r="H3507" s="134"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09" t="str">
        <f>VLOOKUP(B3507,辅助信息!E:J,6,FALSE)</f>
        <v>现场禁止使用氢能源挂车！优先威钢发货,我方卸车,新老国标钢厂不加价可直发，因陕钢多次出现磅差，项目拒绝使用</v>
      </c>
      <c r="O3507" s="62" t="str">
        <f ca="1" t="shared" si="192"/>
        <v/>
      </c>
      <c r="P3507" s="62"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0">
        <v>45918</v>
      </c>
      <c r="D3508" s="40" t="str">
        <f>VLOOKUP(B3508,辅助信息!E:K,7,FALSE)</f>
        <v>JWDDCD2025060900080</v>
      </c>
      <c r="E3508" s="40" t="str">
        <f>VLOOKUP(F3508,辅助信息!A:B,2,FALSE)</f>
        <v>螺纹钢</v>
      </c>
      <c r="F3508" s="40" t="s">
        <v>33</v>
      </c>
      <c r="G3508" s="36">
        <v>15</v>
      </c>
      <c r="H3508" s="134"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09" t="str">
        <f>VLOOKUP(B3508,辅助信息!E:J,6,FALSE)</f>
        <v>现场禁止使用氢能源挂车！优先威钢发货,我方卸车,新老国标钢厂不加价可直发，因陕钢多次出现磅差，项目拒绝使用</v>
      </c>
      <c r="O3508" s="62" t="str">
        <f ca="1" t="shared" si="192"/>
        <v/>
      </c>
      <c r="P3508" s="62"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0">
        <v>45918</v>
      </c>
      <c r="D3509" s="40" t="str">
        <f>VLOOKUP(B3509,辅助信息!E:K,7,FALSE)</f>
        <v>JWDDCD2025060900080</v>
      </c>
      <c r="E3509" s="40" t="str">
        <f>VLOOKUP(F3509,辅助信息!A:B,2,FALSE)</f>
        <v>螺纹钢</v>
      </c>
      <c r="F3509" s="40" t="s">
        <v>22</v>
      </c>
      <c r="G3509" s="36">
        <v>10</v>
      </c>
      <c r="H3509" s="134"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09" t="str">
        <f>VLOOKUP(B3509,辅助信息!E:J,6,FALSE)</f>
        <v>现场禁止使用氢能源挂车！优先威钢发货,我方卸车,新老国标钢厂不加价可直发，因陕钢多次出现磅差，项目拒绝使用</v>
      </c>
      <c r="O3509" s="62" t="str">
        <f ca="1" t="shared" si="192"/>
        <v/>
      </c>
      <c r="P3509" s="62"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0">
        <v>45918</v>
      </c>
      <c r="D3510" s="40" t="str">
        <f>VLOOKUP(B3510,辅助信息!E:K,7,FALSE)</f>
        <v>JWDDCD2025072900123</v>
      </c>
      <c r="E3510" s="40" t="str">
        <f>VLOOKUP(F3510,辅助信息!A:B,2,FALSE)</f>
        <v>高线</v>
      </c>
      <c r="F3510" s="40" t="s">
        <v>57</v>
      </c>
      <c r="G3510" s="36">
        <v>5</v>
      </c>
      <c r="H3510" s="134"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09" t="str">
        <f>VLOOKUP(B3510,辅助信息!E:J,6,FALSE)</f>
        <v>联系实际收货人（彭江涛13990276572）现场要求炉批号控制2个以下，超2个不给予签收。提前联系到场规格及数量</v>
      </c>
      <c r="O3510" s="62" t="str">
        <f ca="1" t="shared" si="192"/>
        <v/>
      </c>
      <c r="P3510" s="62"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0">
        <v>45918</v>
      </c>
      <c r="D3511" s="40" t="str">
        <f>VLOOKUP(B3511,辅助信息!E:K,7,FALSE)</f>
        <v>JWDDCD2025072900123</v>
      </c>
      <c r="E3511" s="40" t="str">
        <f>VLOOKUP(F3511,辅助信息!A:B,2,FALSE)</f>
        <v>高线</v>
      </c>
      <c r="F3511" s="40" t="s">
        <v>53</v>
      </c>
      <c r="G3511" s="36">
        <v>10</v>
      </c>
      <c r="H3511" s="134"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09" t="str">
        <f>VLOOKUP(B3511,辅助信息!E:J,6,FALSE)</f>
        <v>联系实际收货人（彭江涛13990276572）现场要求炉批号控制2个以下，超2个不给予签收。提前联系到场规格及数量</v>
      </c>
      <c r="O3511" s="62" t="str">
        <f ca="1" t="shared" si="192"/>
        <v/>
      </c>
      <c r="P3511" s="62"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0">
        <v>45918</v>
      </c>
      <c r="D3512" s="40" t="str">
        <f>VLOOKUP(B3512,辅助信息!E:K,7,FALSE)</f>
        <v>JWDDCD2025072900123</v>
      </c>
      <c r="E3512" s="40" t="str">
        <f>VLOOKUP(F3512,辅助信息!A:B,2,FALSE)</f>
        <v>螺纹钢</v>
      </c>
      <c r="F3512" s="40" t="s">
        <v>76</v>
      </c>
      <c r="G3512" s="36">
        <v>12</v>
      </c>
      <c r="H3512" s="134"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09" t="str">
        <f>VLOOKUP(B3512,辅助信息!E:J,6,FALSE)</f>
        <v>联系实际收货人（彭江涛13990276572）现场要求炉批号控制2个以下，超2个不给予签收。提前联系到场规格及数量</v>
      </c>
      <c r="O3512" s="62" t="str">
        <f ca="1" t="shared" si="192"/>
        <v/>
      </c>
      <c r="P3512" s="62"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0">
        <v>45918</v>
      </c>
      <c r="D3513" s="40" t="str">
        <f>VLOOKUP(B3513,辅助信息!E:K,7,FALSE)</f>
        <v>JWDDCD2025072900123</v>
      </c>
      <c r="E3513" s="40" t="str">
        <f>VLOOKUP(F3513,辅助信息!A:B,2,FALSE)</f>
        <v>螺纹钢</v>
      </c>
      <c r="F3513" s="40" t="s">
        <v>90</v>
      </c>
      <c r="G3513" s="36">
        <v>20</v>
      </c>
      <c r="H3513" s="134"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09" t="str">
        <f>VLOOKUP(B3513,辅助信息!E:J,6,FALSE)</f>
        <v>联系实际收货人（彭江涛13990276572）现场要求炉批号控制2个以下，超2个不给予签收。提前联系到场规格及数量</v>
      </c>
      <c r="O3513" s="62" t="str">
        <f ca="1" t="shared" si="192"/>
        <v/>
      </c>
      <c r="P3513" s="62"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0">
        <v>45918</v>
      </c>
      <c r="D3514" s="40" t="str">
        <f>VLOOKUP(B3514,辅助信息!E:K,7,FALSE)</f>
        <v>JWDDCD2025072900123</v>
      </c>
      <c r="E3514" s="40" t="str">
        <f>VLOOKUP(F3514,辅助信息!A:B,2,FALSE)</f>
        <v>螺纹钢</v>
      </c>
      <c r="F3514" s="40" t="s">
        <v>140</v>
      </c>
      <c r="G3514" s="36">
        <v>4</v>
      </c>
      <c r="H3514" s="134">
        <f>IF(SUMIFS('[1]2025年已发货'!$E:$E,'[1]2025年已发货'!$F:$F,C3514,'[1]2025年已发货'!$C:$C,F3514,'[1]2025年已发货'!$G:$G,I3514,'[1]2025年已发货'!$H:$H,J3514)=0,"未发货",SUMIFS('[1]2025年已发货'!$E:$E,'[1]2025年已发货'!$F:$F,C3514,'[1]2025年已发货'!$C:$C,F3514,'[1]2025年已发货'!$G:$G,I3514,'[1]2025年已发货'!$H:$H,J3514))</f>
        <v>4</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09" t="str">
        <f>VLOOKUP(B3514,辅助信息!E:J,6,FALSE)</f>
        <v>联系实际收货人（彭江涛13990276572）现场要求炉批号控制2个以下，超2个不给予签收。提前联系到场规格及数量</v>
      </c>
      <c r="O3514" s="62" t="str">
        <f ca="1" t="shared" si="192"/>
        <v/>
      </c>
      <c r="P3514" s="62"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0">
        <v>45918</v>
      </c>
      <c r="D3515" s="40" t="str">
        <f>VLOOKUP(B3515,辅助信息!E:K,7,FALSE)</f>
        <v>JWDDCD2025072900123</v>
      </c>
      <c r="E3515" s="40" t="str">
        <f>VLOOKUP(F3515,辅助信息!A:B,2,FALSE)</f>
        <v>螺纹钢</v>
      </c>
      <c r="F3515" s="40" t="s">
        <v>45</v>
      </c>
      <c r="G3515" s="36">
        <v>10</v>
      </c>
      <c r="H3515" s="134"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09" t="str">
        <f>VLOOKUP(B3515,辅助信息!E:J,6,FALSE)</f>
        <v>联系实际收货人（彭江涛13990276572）现场要求炉批号控制2个以下，超2个不给予签收。提前联系到场规格及数量</v>
      </c>
      <c r="O3515" s="62" t="str">
        <f ca="1" t="shared" si="192"/>
        <v/>
      </c>
      <c r="P3515" s="62"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0">
        <v>45918</v>
      </c>
      <c r="D3516" s="40" t="str">
        <f>VLOOKUP(B3516,辅助信息!E:K,7,FALSE)</f>
        <v>JWDDCD2025072900123</v>
      </c>
      <c r="E3516" s="40" t="str">
        <f>VLOOKUP(F3516,辅助信息!A:B,2,FALSE)</f>
        <v>螺纹钢</v>
      </c>
      <c r="F3516" s="40" t="s">
        <v>21</v>
      </c>
      <c r="G3516" s="36">
        <v>18</v>
      </c>
      <c r="H3516" s="134"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09" t="str">
        <f>VLOOKUP(B3516,辅助信息!E:J,6,FALSE)</f>
        <v>联系实际收货人（彭江涛13990276572）现场要求炉批号控制2个以下，超2个不给予签收。提前联系到场规格及数量</v>
      </c>
      <c r="O3516" s="62" t="str">
        <f ca="1" t="shared" si="192"/>
        <v/>
      </c>
      <c r="P3516" s="62"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0">
        <v>45918</v>
      </c>
      <c r="D3517" s="40" t="str">
        <f>VLOOKUP(B3517,辅助信息!E:K,7,FALSE)</f>
        <v>JWDDCD2025072900123</v>
      </c>
      <c r="E3517" s="40" t="str">
        <f>VLOOKUP(F3517,辅助信息!A:B,2,FALSE)</f>
        <v>螺纹钢</v>
      </c>
      <c r="F3517" s="40" t="s">
        <v>198</v>
      </c>
      <c r="G3517" s="36">
        <v>4</v>
      </c>
      <c r="H3517" s="134"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09" t="str">
        <f>VLOOKUP(B3517,辅助信息!E:J,6,FALSE)</f>
        <v>联系实际收货人（彭江涛13990276572）现场要求炉批号控制2个以下，超2个不给予签收。提前联系到场规格及数量</v>
      </c>
      <c r="O3517" s="62" t="str">
        <f ca="1" t="shared" si="192"/>
        <v/>
      </c>
      <c r="P3517" s="62"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0">
        <v>45918</v>
      </c>
      <c r="D3518" s="40" t="str">
        <f>VLOOKUP(B3518,辅助信息!E:K,7,FALSE)</f>
        <v>JWDDCD2025072900123</v>
      </c>
      <c r="E3518" s="40" t="str">
        <f>VLOOKUP(F3518,辅助信息!A:B,2,FALSE)</f>
        <v>螺纹钢</v>
      </c>
      <c r="F3518" s="40" t="s">
        <v>58</v>
      </c>
      <c r="G3518" s="36">
        <v>18</v>
      </c>
      <c r="H3518" s="134">
        <f>IF(SUMIFS('[1]2025年已发货'!$E:$E,'[1]2025年已发货'!$F:$F,C3518,'[1]2025年已发货'!$C:$C,F3518,'[1]2025年已发货'!$G:$G,I3518,'[1]2025年已发货'!$H:$H,J3518)=0,"未发货",SUMIFS('[1]2025年已发货'!$E:$E,'[1]2025年已发货'!$F:$F,C3518,'[1]2025年已发货'!$C:$C,F3518,'[1]2025年已发货'!$G:$G,I3518,'[1]2025年已发货'!$H:$H,J3518))</f>
        <v>3</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09" t="str">
        <f>VLOOKUP(B3518,辅助信息!E:J,6,FALSE)</f>
        <v>联系实际收货人（彭江涛13990276572）现场要求炉批号控制2个以下，超2个不给予签收。提前联系到场规格及数量</v>
      </c>
      <c r="O3518" s="62" t="str">
        <f ca="1" t="shared" si="192"/>
        <v/>
      </c>
      <c r="P3518" s="62"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0">
        <v>45918</v>
      </c>
      <c r="D3519" s="40" t="str">
        <f>VLOOKUP(B3519,辅助信息!E:K,7,FALSE)</f>
        <v>JWDDCD2025072900123</v>
      </c>
      <c r="E3519" s="40" t="str">
        <f>VLOOKUP(F3519,辅助信息!A:B,2,FALSE)</f>
        <v>螺纹钢</v>
      </c>
      <c r="F3519" s="40" t="s">
        <v>199</v>
      </c>
      <c r="G3519" s="36">
        <v>17</v>
      </c>
      <c r="H3519" s="134"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09" t="str">
        <f>VLOOKUP(B3519,辅助信息!E:J,6,FALSE)</f>
        <v>联系实际收货人（彭江涛13990276572）现场要求炉批号控制2个以下，超2个不给予签收。提前联系到场规格及数量</v>
      </c>
      <c r="O3519" s="62" t="str">
        <f ca="1" t="shared" si="192"/>
        <v/>
      </c>
      <c r="P3519" s="62"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0">
        <v>45918</v>
      </c>
      <c r="D3520" s="40" t="str">
        <f>VLOOKUP(B3520,辅助信息!E:K,7,FALSE)</f>
        <v>JWDDCD2025072900123</v>
      </c>
      <c r="E3520" s="40" t="str">
        <f>VLOOKUP(F3520,辅助信息!A:B,2,FALSE)</f>
        <v>螺纹钢</v>
      </c>
      <c r="F3520" s="40" t="s">
        <v>46</v>
      </c>
      <c r="G3520" s="36">
        <v>3</v>
      </c>
      <c r="H3520" s="134">
        <f>IF(SUMIFS('[1]2025年已发货'!$E:$E,'[1]2025年已发货'!$F:$F,C3520,'[1]2025年已发货'!$C:$C,F3520,'[1]2025年已发货'!$G:$G,I3520,'[1]2025年已发货'!$H:$H,J3520)=0,"未发货",SUMIFS('[1]2025年已发货'!$E:$E,'[1]2025年已发货'!$F:$F,C3520,'[1]2025年已发货'!$C:$C,F3520,'[1]2025年已发货'!$G:$G,I3520,'[1]2025年已发货'!$H:$H,J3520))</f>
        <v>3</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09" t="str">
        <f>VLOOKUP(B3520,辅助信息!E:J,6,FALSE)</f>
        <v>联系实际收货人（彭江涛13990276572）现场要求炉批号控制2个以下，超2个不给予签收。提前联系到场规格及数量</v>
      </c>
      <c r="O3520" s="62" t="str">
        <f ca="1" t="shared" si="192"/>
        <v/>
      </c>
      <c r="P3520" s="62"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0">
        <v>45918</v>
      </c>
      <c r="D3521" s="40" t="str">
        <f>VLOOKUP(B3521,辅助信息!E:K,7,FALSE)</f>
        <v>JWDDCD2025072900123</v>
      </c>
      <c r="E3521" s="40" t="str">
        <f>VLOOKUP(F3521,辅助信息!A:B,2,FALSE)</f>
        <v>螺纹钢</v>
      </c>
      <c r="F3521" s="40" t="s">
        <v>141</v>
      </c>
      <c r="G3521" s="36">
        <v>16</v>
      </c>
      <c r="H3521" s="134"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09" t="str">
        <f>VLOOKUP(B3521,辅助信息!E:J,6,FALSE)</f>
        <v>联系实际收货人（彭江涛13990276572）现场要求炉批号控制2个以下，超2个不给予签收。提前联系到场规格及数量</v>
      </c>
      <c r="O3521" s="62" t="str">
        <f ca="1" t="shared" si="192"/>
        <v/>
      </c>
      <c r="P3521" s="62"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0">
        <v>45918</v>
      </c>
      <c r="D3522" s="40" t="str">
        <f>VLOOKUP(B3522,辅助信息!E:K,7,FALSE)</f>
        <v>JWDDCD2025072900123</v>
      </c>
      <c r="E3522" s="40" t="str">
        <f>VLOOKUP(F3522,辅助信息!A:B,2,FALSE)</f>
        <v>螺纹钢</v>
      </c>
      <c r="F3522" s="40" t="s">
        <v>22</v>
      </c>
      <c r="G3522" s="36">
        <v>20</v>
      </c>
      <c r="H3522" s="134">
        <f>IF(SUMIFS('[1]2025年已发货'!$E:$E,'[1]2025年已发货'!$F:$F,C3522,'[1]2025年已发货'!$C:$C,F3522,'[1]2025年已发货'!$G:$G,I3522,'[1]2025年已发货'!$H:$H,J3522)=0,"未发货",SUMIFS('[1]2025年已发货'!$E:$E,'[1]2025年已发货'!$F:$F,C3522,'[1]2025年已发货'!$C:$C,F3522,'[1]2025年已发货'!$G:$G,I3522,'[1]2025年已发货'!$H:$H,J3522))</f>
        <v>20</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09" t="str">
        <f>VLOOKUP(B3522,辅助信息!E:J,6,FALSE)</f>
        <v>联系实际收货人（彭江涛13990276572）现场要求炉批号控制2个以下，超2个不给予签收。提前联系到场规格及数量</v>
      </c>
      <c r="O3522" s="62" t="str">
        <f ca="1" t="shared" si="192"/>
        <v/>
      </c>
      <c r="P3522" s="62"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0">
        <v>45918</v>
      </c>
      <c r="D3523" s="40" t="str">
        <f>VLOOKUP(B3523,辅助信息!E:K,7,FALSE)</f>
        <v>JWDDCD2025072900123</v>
      </c>
      <c r="E3523" s="40" t="str">
        <f>VLOOKUP(F3523,辅助信息!A:B,2,FALSE)</f>
        <v>螺纹钢</v>
      </c>
      <c r="F3523" s="40" t="s">
        <v>142</v>
      </c>
      <c r="G3523" s="36">
        <v>60</v>
      </c>
      <c r="H3523" s="134"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09" t="str">
        <f>VLOOKUP(B3523,辅助信息!E:J,6,FALSE)</f>
        <v>联系实际收货人（彭江涛13990276572）现场要求炉批号控制2个以下，超2个不给予签收。提前联系到场规格及数量</v>
      </c>
      <c r="O3523" s="62" t="str">
        <f ca="1" t="shared" si="192"/>
        <v/>
      </c>
      <c r="P3523" s="62"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0">
        <v>45918</v>
      </c>
      <c r="D3524" s="40" t="str">
        <f>VLOOKUP(B3524,辅助信息!E:K,7,FALSE)</f>
        <v>JWDDCD2025072900123</v>
      </c>
      <c r="E3524" s="40" t="str">
        <f>VLOOKUP(F3524,辅助信息!A:B,2,FALSE)</f>
        <v>盘螺</v>
      </c>
      <c r="F3524" s="40" t="s">
        <v>41</v>
      </c>
      <c r="G3524" s="36">
        <v>42</v>
      </c>
      <c r="H3524" s="134">
        <f>IF(SUMIFS('[1]2025年已发货'!$E:$E,'[1]2025年已发货'!$F:$F,C3524,'[1]2025年已发货'!$C:$C,F3524,'[1]2025年已发货'!$G:$G,I3524,'[1]2025年已发货'!$H:$H,J3524)=0,"未发货",SUMIFS('[1]2025年已发货'!$E:$E,'[1]2025年已发货'!$F:$F,C3524,'[1]2025年已发货'!$C:$C,F3524,'[1]2025年已发货'!$G:$G,I3524,'[1]2025年已发货'!$H:$H,J3524))</f>
        <v>39</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09" t="str">
        <f>VLOOKUP(B3524,辅助信息!E:J,6,FALSE)</f>
        <v>联系实际收货人（彭江涛13990276572）现场要求炉批号控制2个以下，超2个不给予签收。提前联系到场规格及数量</v>
      </c>
      <c r="O3524" s="62" t="str">
        <f ca="1" t="shared" si="192"/>
        <v/>
      </c>
      <c r="P3524" s="62"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0">
        <v>45918</v>
      </c>
      <c r="D3525" s="40" t="str">
        <f>VLOOKUP(B3525,辅助信息!E:K,7,FALSE)</f>
        <v>JWDDCD2025072900123</v>
      </c>
      <c r="E3525" s="40" t="str">
        <f>VLOOKUP(F3525,辅助信息!A:B,2,FALSE)</f>
        <v>盘螺</v>
      </c>
      <c r="F3525" s="40" t="s">
        <v>26</v>
      </c>
      <c r="G3525" s="36">
        <v>15</v>
      </c>
      <c r="H3525" s="134">
        <f>IF(SUMIFS('[1]2025年已发货'!$E:$E,'[1]2025年已发货'!$F:$F,C3525,'[1]2025年已发货'!$C:$C,F3525,'[1]2025年已发货'!$G:$G,I3525,'[1]2025年已发货'!$H:$H,J3525)=0,"未发货",SUMIFS('[1]2025年已发货'!$E:$E,'[1]2025年已发货'!$F:$F,C3525,'[1]2025年已发货'!$C:$C,F3525,'[1]2025年已发货'!$G:$G,I3525,'[1]2025年已发货'!$H:$H,J3525))</f>
        <v>5</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09" t="str">
        <f>VLOOKUP(B3525,辅助信息!E:J,6,FALSE)</f>
        <v>联系实际收货人（彭江涛13990276572）现场要求炉批号控制2个以下，超2个不给予签收。提前联系到场规格及数量</v>
      </c>
      <c r="O3525" s="62" t="str">
        <f ca="1" t="shared" si="192"/>
        <v/>
      </c>
      <c r="P3525" s="62"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0">
        <v>45918</v>
      </c>
      <c r="D3526" s="40" t="str">
        <f>VLOOKUP(B3526,辅助信息!E:K,7,FALSE)</f>
        <v>JWDDCD2025072900123</v>
      </c>
      <c r="E3526" s="40" t="str">
        <f>VLOOKUP(F3526,辅助信息!A:B,2,FALSE)</f>
        <v>盘螺</v>
      </c>
      <c r="F3526" s="40" t="s">
        <v>49</v>
      </c>
      <c r="G3526" s="36">
        <v>5</v>
      </c>
      <c r="H3526" s="134"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09" t="str">
        <f>VLOOKUP(B3526,辅助信息!E:J,6,FALSE)</f>
        <v>联系实际收货人（彭江涛13990276572）现场要求炉批号控制2个以下，超2个不给予签收。提前联系到场规格及数量</v>
      </c>
      <c r="O3526" s="62" t="str">
        <f ca="1" t="shared" si="192"/>
        <v/>
      </c>
      <c r="P3526" s="62"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0">
        <v>45918</v>
      </c>
      <c r="D3527" s="40" t="str">
        <f>VLOOKUP(B3527,辅助信息!E:K,7,FALSE)</f>
        <v>JWDDCD2025072900123</v>
      </c>
      <c r="E3527" s="40" t="str">
        <f>VLOOKUP(F3527,辅助信息!A:B,2,FALSE)</f>
        <v>盘螺</v>
      </c>
      <c r="F3527" s="40" t="s">
        <v>40</v>
      </c>
      <c r="G3527" s="36">
        <v>32</v>
      </c>
      <c r="H3527" s="134">
        <f>IF(SUMIFS('[1]2025年已发货'!$E:$E,'[1]2025年已发货'!$F:$F,C3527,'[1]2025年已发货'!$C:$C,F3527,'[1]2025年已发货'!$G:$G,I3527,'[1]2025年已发货'!$H:$H,J3527)=0,"未发货",SUMIFS('[1]2025年已发货'!$E:$E,'[1]2025年已发货'!$F:$F,C3527,'[1]2025年已发货'!$C:$C,F3527,'[1]2025年已发货'!$G:$G,I3527,'[1]2025年已发货'!$H:$H,J3527))</f>
        <v>32</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09" t="str">
        <f>VLOOKUP(B3527,辅助信息!E:J,6,FALSE)</f>
        <v>联系实际收货人（彭江涛13990276572）现场要求炉批号控制2个以下，超2个不给予签收。提前联系到场规格及数量</v>
      </c>
      <c r="O3527" s="62" t="str">
        <f ca="1" t="shared" si="192"/>
        <v/>
      </c>
      <c r="P3527" s="62"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0" t="s">
        <v>163</v>
      </c>
      <c r="C3528" s="70">
        <v>45919</v>
      </c>
      <c r="D3528" s="120" t="str">
        <f>VLOOKUP(B3528,辅助信息!E:K,7,FALSE)</f>
        <v>JWDDCD2025052800131</v>
      </c>
      <c r="E3528" s="120" t="str">
        <f>VLOOKUP(F3528,辅助信息!A:B,2,FALSE)</f>
        <v>盘螺</v>
      </c>
      <c r="F3528" s="120" t="s">
        <v>49</v>
      </c>
      <c r="G3528" s="121">
        <v>6</v>
      </c>
      <c r="H3528" s="134">
        <f>IF(SUMIFS('[1]2025年已发货'!$E:$E,'[1]2025年已发货'!$F:$F,C3528,'[1]2025年已发货'!$C:$C,F3528,'[1]2025年已发货'!$G:$G,I3528,'[1]2025年已发货'!$H:$H,J3528)=0,"未发货",SUMIFS('[1]2025年已发货'!$E:$E,'[1]2025年已发货'!$F:$F,C3528,'[1]2025年已发货'!$C:$C,F3528,'[1]2025年已发货'!$G:$G,I3528,'[1]2025年已发货'!$H:$H,J3528))</f>
        <v>5</v>
      </c>
      <c r="I3528" s="120" t="str">
        <f>VLOOKUP(B3528,辅助信息!E:I,3,FALSE)</f>
        <v>（商投建工达州中医药科技园-4工区-9号楼）达州市通川区达州中医药职业学院犀牛大道北段</v>
      </c>
      <c r="J3528" s="120" t="str">
        <f>VLOOKUP(B3528,辅助信息!E:I,4,FALSE)</f>
        <v>张扬</v>
      </c>
      <c r="K3528" s="120">
        <f>VLOOKUP(J3528,辅助信息!H:I,2,FALSE)</f>
        <v>18381904567</v>
      </c>
      <c r="L3528" s="122" t="str">
        <f>VLOOKUP(B3528,辅助信息!E:J,6,FALSE)</f>
        <v>控制炉批号！多了现场不收！,优先安排达钢,提前联系到场规格及数量</v>
      </c>
      <c r="M3528" s="91">
        <v>45918</v>
      </c>
      <c r="O3528" s="62">
        <f ca="1" t="shared" si="192"/>
        <v>0</v>
      </c>
      <c r="P3528" s="62">
        <f ca="1" t="shared" si="193"/>
        <v>42</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0" t="s">
        <v>163</v>
      </c>
      <c r="C3529" s="70">
        <v>45919</v>
      </c>
      <c r="D3529" s="120" t="str">
        <f>VLOOKUP(B3529,辅助信息!E:K,7,FALSE)</f>
        <v>JWDDCD2025052800131</v>
      </c>
      <c r="E3529" s="120" t="str">
        <f>VLOOKUP(F3529,辅助信息!A:B,2,FALSE)</f>
        <v>盘螺</v>
      </c>
      <c r="F3529" s="120" t="s">
        <v>40</v>
      </c>
      <c r="G3529" s="121">
        <v>12</v>
      </c>
      <c r="H3529" s="134">
        <f>IF(SUMIFS('[1]2025年已发货'!$E:$E,'[1]2025年已发货'!$F:$F,C3529,'[1]2025年已发货'!$C:$C,F3529,'[1]2025年已发货'!$G:$G,I3529,'[1]2025年已发货'!$H:$H,J3529)=0,"未发货",SUMIFS('[1]2025年已发货'!$E:$E,'[1]2025年已发货'!$F:$F,C3529,'[1]2025年已发货'!$C:$C,F3529,'[1]2025年已发货'!$G:$G,I3529,'[1]2025年已发货'!$H:$H,J3529))</f>
        <v>12</v>
      </c>
      <c r="I3529" s="120" t="str">
        <f>VLOOKUP(B3529,辅助信息!E:I,3,FALSE)</f>
        <v>（商投建工达州中医药科技园-4工区-9号楼）达州市通川区达州中医药职业学院犀牛大道北段</v>
      </c>
      <c r="J3529" s="120" t="str">
        <f>VLOOKUP(B3529,辅助信息!E:I,4,FALSE)</f>
        <v>张扬</v>
      </c>
      <c r="K3529" s="120">
        <f>VLOOKUP(J3529,辅助信息!H:I,2,FALSE)</f>
        <v>18381904567</v>
      </c>
      <c r="L3529" s="122" t="str">
        <f>VLOOKUP(B3529,辅助信息!E:J,6,FALSE)</f>
        <v>控制炉批号！多了现场不收！,优先安排达钢,提前联系到场规格及数量</v>
      </c>
      <c r="M3529" s="91">
        <v>45918</v>
      </c>
      <c r="O3529" s="62">
        <f ca="1" t="shared" si="192"/>
        <v>0</v>
      </c>
      <c r="P3529" s="62">
        <f ca="1" t="shared" si="193"/>
        <v>42</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0" t="s">
        <v>163</v>
      </c>
      <c r="C3530" s="70">
        <v>45919</v>
      </c>
      <c r="D3530" s="120" t="str">
        <f>VLOOKUP(B3530,辅助信息!E:K,7,FALSE)</f>
        <v>JWDDCD2025052800131</v>
      </c>
      <c r="E3530" s="120" t="str">
        <f>VLOOKUP(F3530,辅助信息!A:B,2,FALSE)</f>
        <v>盘螺</v>
      </c>
      <c r="F3530" s="120" t="s">
        <v>41</v>
      </c>
      <c r="G3530" s="121">
        <v>12</v>
      </c>
      <c r="H3530" s="134"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0" t="str">
        <f>VLOOKUP(B3530,辅助信息!E:I,3,FALSE)</f>
        <v>（商投建工达州中医药科技园-4工区-9号楼）达州市通川区达州中医药职业学院犀牛大道北段</v>
      </c>
      <c r="J3530" s="120" t="str">
        <f>VLOOKUP(B3530,辅助信息!E:I,4,FALSE)</f>
        <v>张扬</v>
      </c>
      <c r="K3530" s="120">
        <f>VLOOKUP(J3530,辅助信息!H:I,2,FALSE)</f>
        <v>18381904567</v>
      </c>
      <c r="L3530" s="122" t="str">
        <f>VLOOKUP(B3530,辅助信息!E:J,6,FALSE)</f>
        <v>控制炉批号！多了现场不收！,优先安排达钢,提前联系到场规格及数量</v>
      </c>
      <c r="M3530" s="91">
        <v>45918</v>
      </c>
      <c r="O3530" s="62">
        <f ca="1" t="shared" si="192"/>
        <v>0</v>
      </c>
      <c r="P3530" s="62">
        <f ca="1" t="shared" si="193"/>
        <v>42</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0" t="s">
        <v>163</v>
      </c>
      <c r="C3531" s="70">
        <v>45919</v>
      </c>
      <c r="D3531" s="120" t="str">
        <f>VLOOKUP(B3531,辅助信息!E:K,7,FALSE)</f>
        <v>JWDDCD2025052800131</v>
      </c>
      <c r="E3531" s="120" t="str">
        <f>VLOOKUP(F3531,辅助信息!A:B,2,FALSE)</f>
        <v>螺纹钢</v>
      </c>
      <c r="F3531" s="120" t="s">
        <v>33</v>
      </c>
      <c r="G3531" s="121">
        <v>6</v>
      </c>
      <c r="H3531" s="134"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0" t="str">
        <f>VLOOKUP(B3531,辅助信息!E:I,3,FALSE)</f>
        <v>（商投建工达州中医药科技园-4工区-9号楼）达州市通川区达州中医药职业学院犀牛大道北段</v>
      </c>
      <c r="J3531" s="120" t="str">
        <f>VLOOKUP(B3531,辅助信息!E:I,4,FALSE)</f>
        <v>张扬</v>
      </c>
      <c r="K3531" s="120">
        <f>VLOOKUP(J3531,辅助信息!H:I,2,FALSE)</f>
        <v>18381904567</v>
      </c>
      <c r="L3531" s="122" t="str">
        <f>VLOOKUP(B3531,辅助信息!E:J,6,FALSE)</f>
        <v>控制炉批号！多了现场不收！,优先安排达钢,提前联系到场规格及数量</v>
      </c>
      <c r="M3531" s="91">
        <v>45918</v>
      </c>
      <c r="O3531" s="62">
        <f ca="1" t="shared" si="192"/>
        <v>0</v>
      </c>
      <c r="P3531" s="62">
        <f ca="1" t="shared" si="193"/>
        <v>42</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0" t="s">
        <v>163</v>
      </c>
      <c r="C3532" s="70">
        <v>45919</v>
      </c>
      <c r="D3532" s="120" t="str">
        <f>VLOOKUP(B3532,辅助信息!E:K,7,FALSE)</f>
        <v>JWDDCD2025052800131</v>
      </c>
      <c r="E3532" s="120" t="str">
        <f>VLOOKUP(F3532,辅助信息!A:B,2,FALSE)</f>
        <v>螺纹钢</v>
      </c>
      <c r="F3532" s="120" t="s">
        <v>66</v>
      </c>
      <c r="G3532" s="121">
        <v>18</v>
      </c>
      <c r="H3532" s="134">
        <f>IF(SUMIFS('[1]2025年已发货'!$E:$E,'[1]2025年已发货'!$F:$F,C3532,'[1]2025年已发货'!$C:$C,F3532,'[1]2025年已发货'!$G:$G,I3532,'[1]2025年已发货'!$H:$H,J3532)=0,"未发货",SUMIFS('[1]2025年已发货'!$E:$E,'[1]2025年已发货'!$F:$F,C3532,'[1]2025年已发货'!$C:$C,F3532,'[1]2025年已发货'!$G:$G,I3532,'[1]2025年已发货'!$H:$H,J3532))</f>
        <v>18</v>
      </c>
      <c r="I3532" s="120" t="str">
        <f>VLOOKUP(B3532,辅助信息!E:I,3,FALSE)</f>
        <v>（商投建工达州中医药科技园-4工区-9号楼）达州市通川区达州中医药职业学院犀牛大道北段</v>
      </c>
      <c r="J3532" s="120" t="str">
        <f>VLOOKUP(B3532,辅助信息!E:I,4,FALSE)</f>
        <v>张扬</v>
      </c>
      <c r="K3532" s="120">
        <f>VLOOKUP(J3532,辅助信息!H:I,2,FALSE)</f>
        <v>18381904567</v>
      </c>
      <c r="L3532" s="122" t="str">
        <f>VLOOKUP(B3532,辅助信息!E:J,6,FALSE)</f>
        <v>控制炉批号！多了现场不收！,优先安排达钢,提前联系到场规格及数量</v>
      </c>
      <c r="M3532" s="91">
        <v>45918</v>
      </c>
      <c r="O3532" s="62">
        <f ca="1" t="shared" si="192"/>
        <v>0</v>
      </c>
      <c r="P3532" s="62">
        <f ca="1" t="shared" si="193"/>
        <v>42</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0" t="s">
        <v>163</v>
      </c>
      <c r="C3533" s="70">
        <v>45919</v>
      </c>
      <c r="D3533" s="120" t="str">
        <f>VLOOKUP(B3533,辅助信息!E:K,7,FALSE)</f>
        <v>JWDDCD2025052800131</v>
      </c>
      <c r="E3533" s="120" t="str">
        <f>VLOOKUP(F3533,辅助信息!A:B,2,FALSE)</f>
        <v>螺纹钢</v>
      </c>
      <c r="F3533" s="120" t="s">
        <v>58</v>
      </c>
      <c r="G3533" s="121">
        <v>15</v>
      </c>
      <c r="H3533" s="134">
        <f>IF(SUMIFS('[1]2025年已发货'!$E:$E,'[1]2025年已发货'!$F:$F,C3533,'[1]2025年已发货'!$C:$C,F3533,'[1]2025年已发货'!$G:$G,I3533,'[1]2025年已发货'!$H:$H,J3533)=0,"未发货",SUMIFS('[1]2025年已发货'!$E:$E,'[1]2025年已发货'!$F:$F,C3533,'[1]2025年已发货'!$C:$C,F3533,'[1]2025年已发货'!$G:$G,I3533,'[1]2025年已发货'!$H:$H,J3533))</f>
        <v>15</v>
      </c>
      <c r="I3533" s="120" t="str">
        <f>VLOOKUP(B3533,辅助信息!E:I,3,FALSE)</f>
        <v>（商投建工达州中医药科技园-4工区-9号楼）达州市通川区达州中医药职业学院犀牛大道北段</v>
      </c>
      <c r="J3533" s="120" t="str">
        <f>VLOOKUP(B3533,辅助信息!E:I,4,FALSE)</f>
        <v>张扬</v>
      </c>
      <c r="K3533" s="120">
        <f>VLOOKUP(J3533,辅助信息!H:I,2,FALSE)</f>
        <v>18381904567</v>
      </c>
      <c r="L3533" s="122" t="str">
        <f>VLOOKUP(B3533,辅助信息!E:J,6,FALSE)</f>
        <v>控制炉批号！多了现场不收！,优先安排达钢,提前联系到场规格及数量</v>
      </c>
      <c r="M3533" s="91">
        <v>45918</v>
      </c>
      <c r="O3533" s="62">
        <f ca="1" t="shared" si="192"/>
        <v>0</v>
      </c>
      <c r="P3533" s="62">
        <f ca="1" t="shared" si="193"/>
        <v>42</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0" t="s">
        <v>176</v>
      </c>
      <c r="C3534" s="70">
        <v>45919</v>
      </c>
      <c r="D3534" s="120" t="str">
        <f>VLOOKUP(B3534,辅助信息!E:K,7,FALSE)</f>
        <v>JWDDCD2025062200016</v>
      </c>
      <c r="E3534" s="120" t="str">
        <f>VLOOKUP(F3534,辅助信息!A:B,2,FALSE)</f>
        <v>盘螺</v>
      </c>
      <c r="F3534" s="120" t="s">
        <v>40</v>
      </c>
      <c r="G3534" s="121">
        <v>5</v>
      </c>
      <c r="H3534" s="134"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0" t="str">
        <f>VLOOKUP(B3534,辅助信息!E:I,3,FALSE)</f>
        <v>(武汉电气化局成达万高铁强电项目-渠县)四川省达州市渠县渠北镇雷家湾渠县北站旁</v>
      </c>
      <c r="J3534" s="120" t="str">
        <f>VLOOKUP(B3534,辅助信息!E:I,4,FALSE)</f>
        <v>刘频</v>
      </c>
      <c r="K3534" s="120">
        <f>VLOOKUP(J3534,辅助信息!H:I,2,FALSE)</f>
        <v>18779627939</v>
      </c>
      <c r="L3534" s="122" t="str">
        <f>VLOOKUP(B3534,辅助信息!E:J,6,FALSE)</f>
        <v>锈货不收！！下雨天钢筋没盖篷布不收！！，装货前联系收货人核实到场规格,没提前告知进场规格现场不给予接收</v>
      </c>
      <c r="M3534" s="91">
        <v>45918</v>
      </c>
      <c r="O3534" s="62">
        <f ca="1" t="shared" si="192"/>
        <v>0</v>
      </c>
      <c r="P3534" s="62">
        <f ca="1" t="shared" si="193"/>
        <v>42</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0" t="s">
        <v>176</v>
      </c>
      <c r="C3535" s="70">
        <v>45919</v>
      </c>
      <c r="D3535" s="120" t="str">
        <f>VLOOKUP(B3535,辅助信息!E:K,7,FALSE)</f>
        <v>JWDDCD2025062200016</v>
      </c>
      <c r="E3535" s="120" t="str">
        <f>VLOOKUP(F3535,辅助信息!A:B,2,FALSE)</f>
        <v>螺纹钢</v>
      </c>
      <c r="F3535" s="120" t="s">
        <v>30</v>
      </c>
      <c r="G3535" s="121">
        <v>9</v>
      </c>
      <c r="H3535" s="134"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0" t="str">
        <f>VLOOKUP(B3535,辅助信息!E:I,3,FALSE)</f>
        <v>(武汉电气化局成达万高铁强电项目-渠县)四川省达州市渠县渠北镇雷家湾渠县北站旁</v>
      </c>
      <c r="J3535" s="120" t="str">
        <f>VLOOKUP(B3535,辅助信息!E:I,4,FALSE)</f>
        <v>刘频</v>
      </c>
      <c r="K3535" s="120">
        <f>VLOOKUP(J3535,辅助信息!H:I,2,FALSE)</f>
        <v>18779627939</v>
      </c>
      <c r="L3535" s="122" t="str">
        <f>VLOOKUP(B3535,辅助信息!E:J,6,FALSE)</f>
        <v>锈货不收！！下雨天钢筋没盖篷布不收！！，装货前联系收货人核实到场规格,没提前告知进场规格现场不给予接收</v>
      </c>
      <c r="M3535" s="91">
        <v>45918</v>
      </c>
      <c r="O3535" s="62">
        <f ca="1" t="shared" si="192"/>
        <v>0</v>
      </c>
      <c r="P3535" s="62">
        <f ca="1" t="shared" si="193"/>
        <v>42</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0" t="s">
        <v>176</v>
      </c>
      <c r="C3536" s="70">
        <v>45919</v>
      </c>
      <c r="D3536" s="120" t="str">
        <f>VLOOKUP(B3536,辅助信息!E:K,7,FALSE)</f>
        <v>JWDDCD2025062200016</v>
      </c>
      <c r="E3536" s="120" t="str">
        <f>VLOOKUP(F3536,辅助信息!A:B,2,FALSE)</f>
        <v>螺纹钢</v>
      </c>
      <c r="F3536" s="120" t="s">
        <v>90</v>
      </c>
      <c r="G3536" s="121">
        <v>12</v>
      </c>
      <c r="H3536" s="134"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0" t="str">
        <f>VLOOKUP(B3536,辅助信息!E:I,3,FALSE)</f>
        <v>(武汉电气化局成达万高铁强电项目-渠县)四川省达州市渠县渠北镇雷家湾渠县北站旁</v>
      </c>
      <c r="J3536" s="120" t="str">
        <f>VLOOKUP(B3536,辅助信息!E:I,4,FALSE)</f>
        <v>刘频</v>
      </c>
      <c r="K3536" s="120">
        <f>VLOOKUP(J3536,辅助信息!H:I,2,FALSE)</f>
        <v>18779627939</v>
      </c>
      <c r="L3536" s="122" t="str">
        <f>VLOOKUP(B3536,辅助信息!E:J,6,FALSE)</f>
        <v>锈货不收！！下雨天钢筋没盖篷布不收！！，装货前联系收货人核实到场规格,没提前告知进场规格现场不给予接收</v>
      </c>
      <c r="M3536" s="91">
        <v>45918</v>
      </c>
      <c r="O3536" s="62">
        <f ca="1" t="shared" si="192"/>
        <v>0</v>
      </c>
      <c r="P3536" s="62">
        <f ca="1" t="shared" si="193"/>
        <v>42</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0" t="s">
        <v>176</v>
      </c>
      <c r="C3537" s="70">
        <v>45919</v>
      </c>
      <c r="D3537" s="120" t="str">
        <f>VLOOKUP(B3537,辅助信息!E:K,7,FALSE)</f>
        <v>JWDDCD2025062200016</v>
      </c>
      <c r="E3537" s="120" t="str">
        <f>VLOOKUP(F3537,辅助信息!A:B,2,FALSE)</f>
        <v>螺纹钢</v>
      </c>
      <c r="F3537" s="120" t="s">
        <v>133</v>
      </c>
      <c r="G3537" s="121">
        <v>9</v>
      </c>
      <c r="H3537" s="134"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0" t="str">
        <f>VLOOKUP(B3537,辅助信息!E:I,3,FALSE)</f>
        <v>(武汉电气化局成达万高铁强电项目-渠县)四川省达州市渠县渠北镇雷家湾渠县北站旁</v>
      </c>
      <c r="J3537" s="120" t="str">
        <f>VLOOKUP(B3537,辅助信息!E:I,4,FALSE)</f>
        <v>刘频</v>
      </c>
      <c r="K3537" s="120">
        <f>VLOOKUP(J3537,辅助信息!H:I,2,FALSE)</f>
        <v>18779627939</v>
      </c>
      <c r="L3537" s="122" t="str">
        <f>VLOOKUP(B3537,辅助信息!E:J,6,FALSE)</f>
        <v>锈货不收！！下雨天钢筋没盖篷布不收！！，装货前联系收货人核实到场规格,没提前告知进场规格现场不给予接收</v>
      </c>
      <c r="M3537" s="91">
        <v>45918</v>
      </c>
      <c r="O3537" s="62">
        <f ca="1" t="shared" si="192"/>
        <v>0</v>
      </c>
      <c r="P3537" s="62">
        <f ca="1" t="shared" si="193"/>
        <v>42</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0" t="s">
        <v>112</v>
      </c>
      <c r="C3538" s="70">
        <v>45919</v>
      </c>
      <c r="D3538" s="120" t="str">
        <f>VLOOKUP(B3538,辅助信息!E:K,7,FALSE)</f>
        <v>JWDDCD2025052800131</v>
      </c>
      <c r="E3538" s="120" t="str">
        <f>VLOOKUP(F3538,辅助信息!A:B,2,FALSE)</f>
        <v>盘螺</v>
      </c>
      <c r="F3538" s="120" t="s">
        <v>40</v>
      </c>
      <c r="G3538" s="121">
        <v>35</v>
      </c>
      <c r="H3538" s="134">
        <f>IF(SUMIFS('[1]2025年已发货'!$E:$E,'[1]2025年已发货'!$F:$F,C3538,'[1]2025年已发货'!$C:$C,F3538,'[1]2025年已发货'!$G:$G,I3538,'[1]2025年已发货'!$H:$H,J3538)=0,"未发货",SUMIFS('[1]2025年已发货'!$E:$E,'[1]2025年已发货'!$F:$F,C3538,'[1]2025年已发货'!$C:$C,F3538,'[1]2025年已发货'!$G:$G,I3538,'[1]2025年已发货'!$H:$H,J3538))</f>
        <v>23</v>
      </c>
      <c r="I3538" s="120" t="str">
        <f>VLOOKUP(B3538,辅助信息!E:I,3,FALSE)</f>
        <v>（商投建工达州中医药科技园-4工区-10号楼）达州市通川区达州中医药职业学院犀牛大道北段</v>
      </c>
      <c r="J3538" s="120" t="str">
        <f>VLOOKUP(B3538,辅助信息!E:I,4,FALSE)</f>
        <v>张扬</v>
      </c>
      <c r="K3538" s="120">
        <f>VLOOKUP(J3538,辅助信息!H:I,2,FALSE)</f>
        <v>18381904567</v>
      </c>
      <c r="L3538" s="122" t="str">
        <f>VLOOKUP(B3538,辅助信息!E:J,6,FALSE)</f>
        <v>控制炉批号！多了现场不收！,优先安排达钢,提前联系到场规格及数量</v>
      </c>
      <c r="M3538" s="91">
        <v>45919</v>
      </c>
      <c r="O3538" s="62">
        <f ca="1" t="shared" si="192"/>
        <v>0</v>
      </c>
      <c r="P3538" s="62">
        <f ca="1" t="shared" si="193"/>
        <v>41</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0" t="s">
        <v>112</v>
      </c>
      <c r="C3539" s="70">
        <v>45919</v>
      </c>
      <c r="D3539" s="120" t="str">
        <f>VLOOKUP(B3539,辅助信息!E:K,7,FALSE)</f>
        <v>JWDDCD2025052800131</v>
      </c>
      <c r="E3539" s="120" t="str">
        <f>VLOOKUP(F3539,辅助信息!A:B,2,FALSE)</f>
        <v>盘螺</v>
      </c>
      <c r="F3539" s="120" t="s">
        <v>41</v>
      </c>
      <c r="G3539" s="121">
        <v>12.5</v>
      </c>
      <c r="H3539" s="134">
        <f>IF(SUMIFS('[1]2025年已发货'!$E:$E,'[1]2025年已发货'!$F:$F,C3539,'[1]2025年已发货'!$C:$C,F3539,'[1]2025年已发货'!$G:$G,I3539,'[1]2025年已发货'!$H:$H,J3539)=0,"未发货",SUMIFS('[1]2025年已发货'!$E:$E,'[1]2025年已发货'!$F:$F,C3539,'[1]2025年已发货'!$C:$C,F3539,'[1]2025年已发货'!$G:$G,I3539,'[1]2025年已发货'!$H:$H,J3539))</f>
        <v>12.5</v>
      </c>
      <c r="I3539" s="120" t="str">
        <f>VLOOKUP(B3539,辅助信息!E:I,3,FALSE)</f>
        <v>（商投建工达州中医药科技园-4工区-10号楼）达州市通川区达州中医药职业学院犀牛大道北段</v>
      </c>
      <c r="J3539" s="120" t="str">
        <f>VLOOKUP(B3539,辅助信息!E:I,4,FALSE)</f>
        <v>张扬</v>
      </c>
      <c r="K3539" s="120">
        <f>VLOOKUP(J3539,辅助信息!H:I,2,FALSE)</f>
        <v>18381904567</v>
      </c>
      <c r="L3539" s="122" t="str">
        <f>VLOOKUP(B3539,辅助信息!E:J,6,FALSE)</f>
        <v>控制炉批号！多了现场不收！,优先安排达钢,提前联系到场规格及数量</v>
      </c>
      <c r="M3539" s="91">
        <v>45919</v>
      </c>
      <c r="O3539" s="62">
        <f ca="1" t="shared" si="192"/>
        <v>0</v>
      </c>
      <c r="P3539" s="62">
        <f ca="1" t="shared" si="193"/>
        <v>41</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1" t="s">
        <v>163</v>
      </c>
      <c r="C3540" s="149">
        <v>45919</v>
      </c>
      <c r="D3540" s="131" t="str">
        <f>VLOOKUP(B3540,辅助信息!E:K,7,FALSE)</f>
        <v>JWDDCD2025052800131</v>
      </c>
      <c r="E3540" s="131" t="str">
        <f>VLOOKUP(F3540,辅助信息!A:B,2,FALSE)</f>
        <v>螺纹钢</v>
      </c>
      <c r="F3540" s="131" t="s">
        <v>21</v>
      </c>
      <c r="G3540" s="130">
        <v>18</v>
      </c>
      <c r="H3540" s="134"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0" t="str">
        <f>VLOOKUP(B3540,辅助信息!E:I,3,FALSE)</f>
        <v>（商投建工达州中医药科技园-4工区-9号楼）达州市通川区达州中医药职业学院犀牛大道北段</v>
      </c>
      <c r="J3540" s="120" t="str">
        <f>VLOOKUP(B3540,辅助信息!E:I,4,FALSE)</f>
        <v>张扬</v>
      </c>
      <c r="K3540" s="120">
        <f>VLOOKUP(J3540,辅助信息!H:I,2,FALSE)</f>
        <v>18381904567</v>
      </c>
      <c r="L3540" s="122" t="str">
        <f>VLOOKUP(B3540,辅助信息!E:J,6,FALSE)</f>
        <v>控制炉批号！多了现场不收！,优先安排达钢,提前联系到场规格及数量</v>
      </c>
      <c r="M3540" s="91">
        <v>45919</v>
      </c>
      <c r="O3540" s="62">
        <f ca="1" t="shared" si="192"/>
        <v>0</v>
      </c>
      <c r="P3540" s="62">
        <f ca="1" t="shared" si="193"/>
        <v>41</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1" t="s">
        <v>163</v>
      </c>
      <c r="C3541" s="149">
        <v>45919</v>
      </c>
      <c r="D3541" s="131" t="str">
        <f>VLOOKUP(B3541,辅助信息!E:K,7,FALSE)</f>
        <v>JWDDCD2025052800131</v>
      </c>
      <c r="E3541" s="131" t="str">
        <f>VLOOKUP(F3541,辅助信息!A:B,2,FALSE)</f>
        <v>盘螺</v>
      </c>
      <c r="F3541" s="131" t="s">
        <v>40</v>
      </c>
      <c r="G3541" s="130">
        <v>17</v>
      </c>
      <c r="H3541" s="134"/>
      <c r="I3541" s="120" t="str">
        <f>VLOOKUP(B3541,辅助信息!E:I,3,FALSE)</f>
        <v>（商投建工达州中医药科技园-4工区-9号楼）达州市通川区达州中医药职业学院犀牛大道北段</v>
      </c>
      <c r="J3541" s="120" t="str">
        <f>VLOOKUP(B3541,辅助信息!E:I,4,FALSE)</f>
        <v>张扬</v>
      </c>
      <c r="K3541" s="120">
        <f>VLOOKUP(J3541,辅助信息!H:I,2,FALSE)</f>
        <v>18381904567</v>
      </c>
      <c r="L3541" s="122" t="str">
        <f>VLOOKUP(B3541,辅助信息!E:J,6,FALSE)</f>
        <v>控制炉批号！多了现场不收！,优先安排达钢,提前联系到场规格及数量</v>
      </c>
      <c r="M3541" s="91"/>
      <c r="O3541" s="62" t="str">
        <f ca="1" t="shared" si="192"/>
        <v/>
      </c>
      <c r="P3541" s="62"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0" t="s">
        <v>167</v>
      </c>
      <c r="C3542" s="70">
        <v>45919</v>
      </c>
      <c r="D3542" s="120" t="str">
        <f>VLOOKUP(B3542,辅助信息!E:K,7,FALSE)</f>
        <v>JWDDCD2025102100473</v>
      </c>
      <c r="E3542" s="120" t="str">
        <f>VLOOKUP(F3542,辅助信息!A:B,2,FALSE)</f>
        <v>螺纹钢</v>
      </c>
      <c r="F3542" s="120" t="s">
        <v>27</v>
      </c>
      <c r="G3542" s="121">
        <v>30</v>
      </c>
      <c r="H3542" s="134"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0" t="str">
        <f>VLOOKUP(B3542,辅助信息!E:I,3,FALSE)</f>
        <v>(五冶建设扩建艺体中学二期工程)四川省成都市双流区光荣路成都艺体中学南200米</v>
      </c>
      <c r="J3542" s="120" t="str">
        <f>VLOOKUP(B3542,辅助信息!E:I,4,FALSE)</f>
        <v>谢序强</v>
      </c>
      <c r="K3542" s="120">
        <f>VLOOKUP(J3542,辅助信息!H:I,2,FALSE)</f>
        <v>13458588232</v>
      </c>
      <c r="L3542" s="122"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1">
        <v>45921</v>
      </c>
      <c r="O3542" s="62">
        <f ca="1" t="shared" si="192"/>
        <v>0</v>
      </c>
      <c r="P3542" s="62">
        <f ca="1" t="shared" si="193"/>
        <v>39</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0" t="s">
        <v>167</v>
      </c>
      <c r="C3543" s="70">
        <v>45919</v>
      </c>
      <c r="D3543" s="120" t="str">
        <f>VLOOKUP(B3543,辅助信息!E:K,7,FALSE)</f>
        <v>JWDDCD2025102100473</v>
      </c>
      <c r="E3543" s="120" t="str">
        <f>VLOOKUP(F3543,辅助信息!A:B,2,FALSE)</f>
        <v>螺纹钢</v>
      </c>
      <c r="F3543" s="120" t="s">
        <v>21</v>
      </c>
      <c r="G3543" s="121">
        <v>6</v>
      </c>
      <c r="H3543" s="134"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0" t="str">
        <f>VLOOKUP(B3543,辅助信息!E:I,3,FALSE)</f>
        <v>(五冶建设扩建艺体中学二期工程)四川省成都市双流区光荣路成都艺体中学南200米</v>
      </c>
      <c r="J3543" s="120" t="str">
        <f>VLOOKUP(B3543,辅助信息!E:I,4,FALSE)</f>
        <v>谢序强</v>
      </c>
      <c r="K3543" s="120">
        <f>VLOOKUP(J3543,辅助信息!H:I,2,FALSE)</f>
        <v>13458588232</v>
      </c>
      <c r="L3543" s="122"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1">
        <v>45921</v>
      </c>
      <c r="O3543" s="62">
        <f ca="1" t="shared" si="192"/>
        <v>0</v>
      </c>
      <c r="P3543" s="62">
        <f ca="1" t="shared" si="193"/>
        <v>39</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7" t="s">
        <v>178</v>
      </c>
      <c r="B3544" s="120" t="s">
        <v>192</v>
      </c>
      <c r="C3544" s="70">
        <v>45919</v>
      </c>
      <c r="D3544" s="120" t="str">
        <f>VLOOKUP(B3544,辅助信息!E:K,7,FALSE)</f>
        <v>JWDDCD2025102100475</v>
      </c>
      <c r="E3544" s="120" t="str">
        <f>VLOOKUP(F3544,辅助信息!A:B,2,FALSE)</f>
        <v>螺纹钢</v>
      </c>
      <c r="F3544" s="120" t="s">
        <v>30</v>
      </c>
      <c r="G3544" s="121">
        <v>25</v>
      </c>
      <c r="H3544" s="134"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0" t="str">
        <f>VLOOKUP(B3544,辅助信息!E:I,3,FALSE)</f>
        <v>(五冶建设成都国际铁路港多式联项目)四川省成都市青白江区桂平大道成都中远海运陆港多式联运有限公司</v>
      </c>
      <c r="J3544" s="120" t="str">
        <f>VLOOKUP(B3544,辅助信息!E:I,4,FALSE)</f>
        <v>黄勇杰</v>
      </c>
      <c r="K3544" s="120">
        <f>VLOOKUP(J3544,辅助信息!H:I,2,FALSE)</f>
        <v>13880580196</v>
      </c>
      <c r="L3544" s="122"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1">
        <v>45921</v>
      </c>
      <c r="O3544" s="62">
        <f ca="1" t="shared" si="192"/>
        <v>0</v>
      </c>
      <c r="P3544" s="62">
        <f ca="1" t="shared" si="193"/>
        <v>39</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0" t="s">
        <v>81</v>
      </c>
      <c r="C3545" s="70">
        <v>45919</v>
      </c>
      <c r="D3545" s="120" t="str">
        <f>VLOOKUP(B3545,辅助信息!E:K,7,FALSE)</f>
        <v>JWDDCD2025060900080</v>
      </c>
      <c r="E3545" s="120" t="str">
        <f>VLOOKUP(F3545,辅助信息!A:B,2,FALSE)</f>
        <v>盘螺</v>
      </c>
      <c r="F3545" s="120" t="s">
        <v>49</v>
      </c>
      <c r="G3545" s="121">
        <v>15</v>
      </c>
      <c r="H3545" s="134"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0" t="str">
        <f>VLOOKUP(B3545,辅助信息!E:I,3,FALSE)</f>
        <v>（华西简阳西城嘉苑）四川省成都市简阳市简城街道高屋村</v>
      </c>
      <c r="J3545" s="120" t="str">
        <f>VLOOKUP(B3545,辅助信息!E:I,4,FALSE)</f>
        <v>张瀚镭</v>
      </c>
      <c r="K3545" s="120">
        <f>VLOOKUP(J3545,辅助信息!H:I,2,FALSE)</f>
        <v>15884666220</v>
      </c>
      <c r="L3545" s="122" t="str">
        <f>VLOOKUP(B3545,辅助信息!E:J,6,FALSE)</f>
        <v>现场禁止使用氢能源挂车！优先威钢发货,我方卸车,新老国标钢厂不加价可直发，因陕钢多次出现磅差，项目拒绝使用</v>
      </c>
      <c r="M3545" s="91">
        <v>45921</v>
      </c>
      <c r="O3545" s="62">
        <f ca="1" t="shared" si="192"/>
        <v>0</v>
      </c>
      <c r="P3545" s="62">
        <f ca="1" t="shared" si="193"/>
        <v>39</v>
      </c>
      <c r="Q3545" s="29" t="str">
        <f>VLOOKUP(B3545,辅助信息!E:M,9,FALSE)</f>
        <v>ZTWM-CDGS-XS-2024-0030-华西集采-简州大道</v>
      </c>
      <c r="R3545" s="29" t="str">
        <f>_xlfn._xlws.FILTER(辅助信息!D:D,辅助信息!E:E=B3545)</f>
        <v>华西简阳西城嘉苑</v>
      </c>
    </row>
    <row r="3546" hidden="1" spans="2:18">
      <c r="B3546" s="120" t="s">
        <v>81</v>
      </c>
      <c r="C3546" s="70">
        <v>45919</v>
      </c>
      <c r="D3546" s="120" t="str">
        <f>VLOOKUP(B3546,辅助信息!E:K,7,FALSE)</f>
        <v>JWDDCD2025060900080</v>
      </c>
      <c r="E3546" s="120" t="str">
        <f>VLOOKUP(F3546,辅助信息!A:B,2,FALSE)</f>
        <v>盘螺</v>
      </c>
      <c r="F3546" s="120" t="s">
        <v>40</v>
      </c>
      <c r="G3546" s="121">
        <v>100</v>
      </c>
      <c r="H3546" s="134"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0" t="str">
        <f>VLOOKUP(B3546,辅助信息!E:I,3,FALSE)</f>
        <v>（华西简阳西城嘉苑）四川省成都市简阳市简城街道高屋村</v>
      </c>
      <c r="J3546" s="120" t="str">
        <f>VLOOKUP(B3546,辅助信息!E:I,4,FALSE)</f>
        <v>张瀚镭</v>
      </c>
      <c r="K3546" s="120">
        <f>VLOOKUP(J3546,辅助信息!H:I,2,FALSE)</f>
        <v>15884666220</v>
      </c>
      <c r="L3546" s="122" t="str">
        <f>VLOOKUP(B3546,辅助信息!E:J,6,FALSE)</f>
        <v>现场禁止使用氢能源挂车！优先威钢发货,我方卸车,新老国标钢厂不加价可直发，因陕钢多次出现磅差，项目拒绝使用</v>
      </c>
      <c r="M3546" s="91">
        <v>45921</v>
      </c>
      <c r="O3546" s="62">
        <f ca="1" t="shared" si="192"/>
        <v>0</v>
      </c>
      <c r="P3546" s="62">
        <f ca="1" t="shared" si="193"/>
        <v>39</v>
      </c>
      <c r="Q3546" s="29" t="str">
        <f>VLOOKUP(B3546,辅助信息!E:M,9,FALSE)</f>
        <v>ZTWM-CDGS-XS-2024-0030-华西集采-简州大道</v>
      </c>
      <c r="R3546" s="29" t="str">
        <f>_xlfn._xlws.FILTER(辅助信息!D:D,辅助信息!E:E=B3546)</f>
        <v>华西简阳西城嘉苑</v>
      </c>
    </row>
    <row r="3547" hidden="1" spans="2:18">
      <c r="B3547" s="120" t="s">
        <v>81</v>
      </c>
      <c r="C3547" s="70">
        <v>45919</v>
      </c>
      <c r="D3547" s="120" t="str">
        <f>VLOOKUP(B3547,辅助信息!E:K,7,FALSE)</f>
        <v>JWDDCD2025060900080</v>
      </c>
      <c r="E3547" s="120" t="str">
        <f>VLOOKUP(F3547,辅助信息!A:B,2,FALSE)</f>
        <v>盘螺</v>
      </c>
      <c r="F3547" s="120" t="s">
        <v>41</v>
      </c>
      <c r="G3547" s="121">
        <v>30</v>
      </c>
      <c r="H3547" s="134"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0" t="str">
        <f>VLOOKUP(B3547,辅助信息!E:I,3,FALSE)</f>
        <v>（华西简阳西城嘉苑）四川省成都市简阳市简城街道高屋村</v>
      </c>
      <c r="J3547" s="120" t="str">
        <f>VLOOKUP(B3547,辅助信息!E:I,4,FALSE)</f>
        <v>张瀚镭</v>
      </c>
      <c r="K3547" s="120">
        <f>VLOOKUP(J3547,辅助信息!H:I,2,FALSE)</f>
        <v>15884666220</v>
      </c>
      <c r="L3547" s="122" t="str">
        <f>VLOOKUP(B3547,辅助信息!E:J,6,FALSE)</f>
        <v>现场禁止使用氢能源挂车！优先威钢发货,我方卸车,新老国标钢厂不加价可直发，因陕钢多次出现磅差，项目拒绝使用</v>
      </c>
      <c r="M3547" s="91">
        <v>45921</v>
      </c>
      <c r="O3547" s="62">
        <f ca="1" t="shared" si="192"/>
        <v>0</v>
      </c>
      <c r="P3547" s="62">
        <f ca="1" t="shared" si="193"/>
        <v>39</v>
      </c>
      <c r="Q3547" s="29" t="str">
        <f>VLOOKUP(B3547,辅助信息!E:M,9,FALSE)</f>
        <v>ZTWM-CDGS-XS-2024-0030-华西集采-简州大道</v>
      </c>
      <c r="R3547" s="29" t="str">
        <f>_xlfn._xlws.FILTER(辅助信息!D:D,辅助信息!E:E=B3547)</f>
        <v>华西简阳西城嘉苑</v>
      </c>
    </row>
    <row r="3548" hidden="1" spans="2:18">
      <c r="B3548" s="120" t="s">
        <v>81</v>
      </c>
      <c r="C3548" s="70">
        <v>45919</v>
      </c>
      <c r="D3548" s="120" t="str">
        <f>VLOOKUP(B3548,辅助信息!E:K,7,FALSE)</f>
        <v>JWDDCD2025060900080</v>
      </c>
      <c r="E3548" s="120" t="str">
        <f>VLOOKUP(F3548,辅助信息!A:B,2,FALSE)</f>
        <v>盘螺</v>
      </c>
      <c r="F3548" s="120" t="s">
        <v>26</v>
      </c>
      <c r="G3548" s="121">
        <v>30</v>
      </c>
      <c r="H3548" s="134">
        <f>IF(SUMIFS('[1]2025年已发货'!$E:$E,'[1]2025年已发货'!$F:$F,C3548,'[1]2025年已发货'!$C:$C,F3548,'[1]2025年已发货'!$G:$G,I3548,'[1]2025年已发货'!$H:$H,J3548)=0,"未发货",SUMIFS('[1]2025年已发货'!$E:$E,'[1]2025年已发货'!$F:$F,C3548,'[1]2025年已发货'!$C:$C,F3548,'[1]2025年已发货'!$G:$G,I3548,'[1]2025年已发货'!$H:$H,J3548))</f>
        <v>10</v>
      </c>
      <c r="I3548" s="120" t="str">
        <f>VLOOKUP(B3548,辅助信息!E:I,3,FALSE)</f>
        <v>（华西简阳西城嘉苑）四川省成都市简阳市简城街道高屋村</v>
      </c>
      <c r="J3548" s="120" t="str">
        <f>VLOOKUP(B3548,辅助信息!E:I,4,FALSE)</f>
        <v>张瀚镭</v>
      </c>
      <c r="K3548" s="120">
        <f>VLOOKUP(J3548,辅助信息!H:I,2,FALSE)</f>
        <v>15884666220</v>
      </c>
      <c r="L3548" s="122" t="str">
        <f>VLOOKUP(B3548,辅助信息!E:J,6,FALSE)</f>
        <v>现场禁止使用氢能源挂车！优先威钢发货,我方卸车,新老国标钢厂不加价可直发，因陕钢多次出现磅差，项目拒绝使用</v>
      </c>
      <c r="M3548" s="91">
        <v>45921</v>
      </c>
      <c r="O3548" s="62">
        <f ca="1" t="shared" si="192"/>
        <v>0</v>
      </c>
      <c r="P3548" s="62">
        <f ca="1" t="shared" si="193"/>
        <v>39</v>
      </c>
      <c r="Q3548" s="29" t="str">
        <f>VLOOKUP(B3548,辅助信息!E:M,9,FALSE)</f>
        <v>ZTWM-CDGS-XS-2024-0030-华西集采-简州大道</v>
      </c>
      <c r="R3548" s="29" t="str">
        <f>_xlfn._xlws.FILTER(辅助信息!D:D,辅助信息!E:E=B3548)</f>
        <v>华西简阳西城嘉苑</v>
      </c>
    </row>
    <row r="3549" hidden="1" spans="2:18">
      <c r="B3549" s="120" t="s">
        <v>81</v>
      </c>
      <c r="C3549" s="70">
        <v>45919</v>
      </c>
      <c r="D3549" s="120" t="str">
        <f>VLOOKUP(B3549,辅助信息!E:K,7,FALSE)</f>
        <v>JWDDCD2025060900080</v>
      </c>
      <c r="E3549" s="120" t="str">
        <f>VLOOKUP(F3549,辅助信息!A:B,2,FALSE)</f>
        <v>螺纹钢</v>
      </c>
      <c r="F3549" s="120" t="s">
        <v>33</v>
      </c>
      <c r="G3549" s="121">
        <v>15</v>
      </c>
      <c r="H3549" s="134">
        <f>IF(SUMIFS('[1]2025年已发货'!$E:$E,'[1]2025年已发货'!$F:$F,C3549,'[1]2025年已发货'!$C:$C,F3549,'[1]2025年已发货'!$G:$G,I3549,'[1]2025年已发货'!$H:$H,J3549)=0,"未发货",SUMIFS('[1]2025年已发货'!$E:$E,'[1]2025年已发货'!$F:$F,C3549,'[1]2025年已发货'!$C:$C,F3549,'[1]2025年已发货'!$G:$G,I3549,'[1]2025年已发货'!$H:$H,J3549))</f>
        <v>15</v>
      </c>
      <c r="I3549" s="120" t="str">
        <f>VLOOKUP(B3549,辅助信息!E:I,3,FALSE)</f>
        <v>（华西简阳西城嘉苑）四川省成都市简阳市简城街道高屋村</v>
      </c>
      <c r="J3549" s="120" t="str">
        <f>VLOOKUP(B3549,辅助信息!E:I,4,FALSE)</f>
        <v>张瀚镭</v>
      </c>
      <c r="K3549" s="120">
        <f>VLOOKUP(J3549,辅助信息!H:I,2,FALSE)</f>
        <v>15884666220</v>
      </c>
      <c r="L3549" s="122" t="str">
        <f>VLOOKUP(B3549,辅助信息!E:J,6,FALSE)</f>
        <v>现场禁止使用氢能源挂车！优先威钢发货,我方卸车,新老国标钢厂不加价可直发，因陕钢多次出现磅差，项目拒绝使用</v>
      </c>
      <c r="M3549" s="91">
        <v>45921</v>
      </c>
      <c r="O3549" s="62">
        <f ca="1" t="shared" si="192"/>
        <v>0</v>
      </c>
      <c r="P3549" s="62">
        <f ca="1" t="shared" si="193"/>
        <v>39</v>
      </c>
      <c r="Q3549" s="29" t="str">
        <f>VLOOKUP(B3549,辅助信息!E:M,9,FALSE)</f>
        <v>ZTWM-CDGS-XS-2024-0030-华西集采-简州大道</v>
      </c>
      <c r="R3549" s="29" t="str">
        <f>_xlfn._xlws.FILTER(辅助信息!D:D,辅助信息!E:E=B3549)</f>
        <v>华西简阳西城嘉苑</v>
      </c>
    </row>
    <row r="3550" hidden="1" spans="2:18">
      <c r="B3550" s="120" t="s">
        <v>81</v>
      </c>
      <c r="C3550" s="70">
        <v>45919</v>
      </c>
      <c r="D3550" s="120" t="str">
        <f>VLOOKUP(B3550,辅助信息!E:K,7,FALSE)</f>
        <v>JWDDCD2025060900080</v>
      </c>
      <c r="E3550" s="120" t="str">
        <f>VLOOKUP(F3550,辅助信息!A:B,2,FALSE)</f>
        <v>螺纹钢</v>
      </c>
      <c r="F3550" s="120" t="s">
        <v>22</v>
      </c>
      <c r="G3550" s="121">
        <v>10</v>
      </c>
      <c r="H3550" s="134">
        <f>IF(SUMIFS('[1]2025年已发货'!$E:$E,'[1]2025年已发货'!$F:$F,C3550,'[1]2025年已发货'!$C:$C,F3550,'[1]2025年已发货'!$G:$G,I3550,'[1]2025年已发货'!$H:$H,J3550)=0,"未发货",SUMIFS('[1]2025年已发货'!$E:$E,'[1]2025年已发货'!$F:$F,C3550,'[1]2025年已发货'!$C:$C,F3550,'[1]2025年已发货'!$G:$G,I3550,'[1]2025年已发货'!$H:$H,J3550))</f>
        <v>10</v>
      </c>
      <c r="I3550" s="120" t="str">
        <f>VLOOKUP(B3550,辅助信息!E:I,3,FALSE)</f>
        <v>（华西简阳西城嘉苑）四川省成都市简阳市简城街道高屋村</v>
      </c>
      <c r="J3550" s="120" t="str">
        <f>VLOOKUP(B3550,辅助信息!E:I,4,FALSE)</f>
        <v>张瀚镭</v>
      </c>
      <c r="K3550" s="120">
        <f>VLOOKUP(J3550,辅助信息!H:I,2,FALSE)</f>
        <v>15884666220</v>
      </c>
      <c r="L3550" s="122" t="str">
        <f>VLOOKUP(B3550,辅助信息!E:J,6,FALSE)</f>
        <v>现场禁止使用氢能源挂车！优先威钢发货,我方卸车,新老国标钢厂不加价可直发，因陕钢多次出现磅差，项目拒绝使用</v>
      </c>
      <c r="M3550" s="91">
        <v>45921</v>
      </c>
      <c r="O3550" s="62">
        <f ca="1" t="shared" si="192"/>
        <v>0</v>
      </c>
      <c r="P3550" s="62">
        <f ca="1" t="shared" si="193"/>
        <v>39</v>
      </c>
      <c r="Q3550" s="29" t="str">
        <f>VLOOKUP(B3550,辅助信息!E:M,9,FALSE)</f>
        <v>ZTWM-CDGS-XS-2024-0030-华西集采-简州大道</v>
      </c>
      <c r="R3550" s="29" t="str">
        <f>_xlfn._xlws.FILTER(辅助信息!D:D,辅助信息!E:E=B3550)</f>
        <v>华西简阳西城嘉苑</v>
      </c>
    </row>
    <row r="3551" hidden="1" spans="2:18">
      <c r="B3551" s="120" t="s">
        <v>186</v>
      </c>
      <c r="C3551" s="70">
        <v>45919</v>
      </c>
      <c r="D3551" s="120" t="str">
        <f>VLOOKUP(B3551,辅助信息!E:K,7,FALSE)</f>
        <v>JWDDCD2025072900123</v>
      </c>
      <c r="E3551" s="120" t="str">
        <f>VLOOKUP(F3551,辅助信息!A:B,2,FALSE)</f>
        <v>高线</v>
      </c>
      <c r="F3551" s="120" t="s">
        <v>57</v>
      </c>
      <c r="G3551" s="121">
        <v>5</v>
      </c>
      <c r="H3551" s="134"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0" t="str">
        <f>VLOOKUP(B3551,辅助信息!E:I,3,FALSE)</f>
        <v>(乐山市校地共建产教融合基地建设项目二标段)四川省乐山市市中区苏稽镇</v>
      </c>
      <c r="J3551" s="120" t="str">
        <f>VLOOKUP(B3551,辅助信息!E:I,4,FALSE)</f>
        <v>彭江涛</v>
      </c>
      <c r="K3551" s="120">
        <f>VLOOKUP(J3551,辅助信息!H:I,2,FALSE)</f>
        <v>13990276572</v>
      </c>
      <c r="L3551" s="122" t="str">
        <f>VLOOKUP(B3551,辅助信息!E:J,6,FALSE)</f>
        <v>联系实际收货人（彭江涛13990276572）现场要求炉批号控制2个以下，超2个不给予签收。提前联系到场规格及数量</v>
      </c>
      <c r="M3551" s="91">
        <v>45920</v>
      </c>
      <c r="O3551" s="62">
        <f ca="1" t="shared" si="192"/>
        <v>0</v>
      </c>
      <c r="P3551" s="62">
        <f ca="1" t="shared" si="193"/>
        <v>40</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0" t="s">
        <v>186</v>
      </c>
      <c r="C3552" s="70">
        <v>45919</v>
      </c>
      <c r="D3552" s="120" t="str">
        <f>VLOOKUP(B3552,辅助信息!E:K,7,FALSE)</f>
        <v>JWDDCD2025072900123</v>
      </c>
      <c r="E3552" s="120" t="str">
        <f>VLOOKUP(F3552,辅助信息!A:B,2,FALSE)</f>
        <v>高线</v>
      </c>
      <c r="F3552" s="120" t="s">
        <v>53</v>
      </c>
      <c r="G3552" s="121">
        <v>10</v>
      </c>
      <c r="H3552" s="134"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0" t="str">
        <f>VLOOKUP(B3552,辅助信息!E:I,3,FALSE)</f>
        <v>(乐山市校地共建产教融合基地建设项目二标段)四川省乐山市市中区苏稽镇</v>
      </c>
      <c r="J3552" s="120" t="str">
        <f>VLOOKUP(B3552,辅助信息!E:I,4,FALSE)</f>
        <v>彭江涛</v>
      </c>
      <c r="K3552" s="120">
        <f>VLOOKUP(J3552,辅助信息!H:I,2,FALSE)</f>
        <v>13990276572</v>
      </c>
      <c r="L3552" s="122" t="str">
        <f>VLOOKUP(B3552,辅助信息!E:J,6,FALSE)</f>
        <v>联系实际收货人（彭江涛13990276572）现场要求炉批号控制2个以下，超2个不给予签收。提前联系到场规格及数量</v>
      </c>
      <c r="M3552" s="91">
        <v>45920</v>
      </c>
      <c r="O3552" s="62">
        <f ca="1" t="shared" ref="O3552:O3615" si="194">IF(OR(M3552="",N3552&lt;&gt;""),"",MAX(M3552-TODAY(),0))</f>
        <v>0</v>
      </c>
      <c r="P3552" s="62">
        <f ca="1" t="shared" ref="P3552:P3615" si="195">IF(M3552="","",IF(N3552&lt;&gt;"",MAX(N3552-M3552,0),IF(TODAY()&gt;M3552,TODAY()-M3552,0)))</f>
        <v>40</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0" t="s">
        <v>186</v>
      </c>
      <c r="C3553" s="70">
        <v>45919</v>
      </c>
      <c r="D3553" s="120" t="str">
        <f>VLOOKUP(B3553,辅助信息!E:K,7,FALSE)</f>
        <v>JWDDCD2025072900123</v>
      </c>
      <c r="E3553" s="120" t="str">
        <f>VLOOKUP(F3553,辅助信息!A:B,2,FALSE)</f>
        <v>螺纹钢</v>
      </c>
      <c r="F3553" s="120" t="s">
        <v>76</v>
      </c>
      <c r="G3553" s="121">
        <v>12</v>
      </c>
      <c r="H3553" s="134">
        <f>IF(SUMIFS('[1]2025年已发货'!$E:$E,'[1]2025年已发货'!$F:$F,C3553,'[1]2025年已发货'!$C:$C,F3553,'[1]2025年已发货'!$G:$G,I3553,'[1]2025年已发货'!$H:$H,J3553)=0,"未发货",SUMIFS('[1]2025年已发货'!$E:$E,'[1]2025年已发货'!$F:$F,C3553,'[1]2025年已发货'!$C:$C,F3553,'[1]2025年已发货'!$G:$G,I3553,'[1]2025年已发货'!$H:$H,J3553))</f>
        <v>12</v>
      </c>
      <c r="I3553" s="120" t="str">
        <f>VLOOKUP(B3553,辅助信息!E:I,3,FALSE)</f>
        <v>(乐山市校地共建产教融合基地建设项目二标段)四川省乐山市市中区苏稽镇</v>
      </c>
      <c r="J3553" s="120" t="str">
        <f>VLOOKUP(B3553,辅助信息!E:I,4,FALSE)</f>
        <v>彭江涛</v>
      </c>
      <c r="K3553" s="120">
        <f>VLOOKUP(J3553,辅助信息!H:I,2,FALSE)</f>
        <v>13990276572</v>
      </c>
      <c r="L3553" s="122" t="str">
        <f>VLOOKUP(B3553,辅助信息!E:J,6,FALSE)</f>
        <v>联系实际收货人（彭江涛13990276572）现场要求炉批号控制2个以下，超2个不给予签收。提前联系到场规格及数量</v>
      </c>
      <c r="M3553" s="91">
        <v>45920</v>
      </c>
      <c r="O3553" s="62">
        <f ca="1" t="shared" si="194"/>
        <v>0</v>
      </c>
      <c r="P3553" s="62">
        <f ca="1" t="shared" si="195"/>
        <v>40</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0" t="s">
        <v>186</v>
      </c>
      <c r="C3554" s="70">
        <v>45919</v>
      </c>
      <c r="D3554" s="120" t="str">
        <f>VLOOKUP(B3554,辅助信息!E:K,7,FALSE)</f>
        <v>JWDDCD2025072900123</v>
      </c>
      <c r="E3554" s="120" t="str">
        <f>VLOOKUP(F3554,辅助信息!A:B,2,FALSE)</f>
        <v>螺纹钢</v>
      </c>
      <c r="F3554" s="120" t="s">
        <v>90</v>
      </c>
      <c r="G3554" s="121">
        <v>20</v>
      </c>
      <c r="H3554" s="134"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0" t="str">
        <f>VLOOKUP(B3554,辅助信息!E:I,3,FALSE)</f>
        <v>(乐山市校地共建产教融合基地建设项目二标段)四川省乐山市市中区苏稽镇</v>
      </c>
      <c r="J3554" s="120" t="str">
        <f>VLOOKUP(B3554,辅助信息!E:I,4,FALSE)</f>
        <v>彭江涛</v>
      </c>
      <c r="K3554" s="120">
        <f>VLOOKUP(J3554,辅助信息!H:I,2,FALSE)</f>
        <v>13990276572</v>
      </c>
      <c r="L3554" s="122" t="str">
        <f>VLOOKUP(B3554,辅助信息!E:J,6,FALSE)</f>
        <v>联系实际收货人（彭江涛13990276572）现场要求炉批号控制2个以下，超2个不给予签收。提前联系到场规格及数量</v>
      </c>
      <c r="M3554" s="91">
        <v>45920</v>
      </c>
      <c r="O3554" s="62">
        <f ca="1" t="shared" si="194"/>
        <v>0</v>
      </c>
      <c r="P3554" s="62">
        <f ca="1" t="shared" si="195"/>
        <v>40</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0" t="s">
        <v>186</v>
      </c>
      <c r="C3555" s="70">
        <v>45919</v>
      </c>
      <c r="D3555" s="120" t="str">
        <f>VLOOKUP(B3555,辅助信息!E:K,7,FALSE)</f>
        <v>JWDDCD2025072900123</v>
      </c>
      <c r="E3555" s="120" t="str">
        <f>VLOOKUP(F3555,辅助信息!A:B,2,FALSE)</f>
        <v>螺纹钢</v>
      </c>
      <c r="F3555" s="120" t="s">
        <v>45</v>
      </c>
      <c r="G3555" s="121">
        <v>10</v>
      </c>
      <c r="H3555" s="134">
        <f>IF(SUMIFS('[1]2025年已发货'!$E:$E,'[1]2025年已发货'!$F:$F,C3555,'[1]2025年已发货'!$C:$C,F3555,'[1]2025年已发货'!$G:$G,I3555,'[1]2025年已发货'!$H:$H,J3555)=0,"未发货",SUMIFS('[1]2025年已发货'!$E:$E,'[1]2025年已发货'!$F:$F,C3555,'[1]2025年已发货'!$C:$C,F3555,'[1]2025年已发货'!$G:$G,I3555,'[1]2025年已发货'!$H:$H,J3555))</f>
        <v>10</v>
      </c>
      <c r="I3555" s="120" t="str">
        <f>VLOOKUP(B3555,辅助信息!E:I,3,FALSE)</f>
        <v>(乐山市校地共建产教融合基地建设项目二标段)四川省乐山市市中区苏稽镇</v>
      </c>
      <c r="J3555" s="120" t="str">
        <f>VLOOKUP(B3555,辅助信息!E:I,4,FALSE)</f>
        <v>彭江涛</v>
      </c>
      <c r="K3555" s="120">
        <f>VLOOKUP(J3555,辅助信息!H:I,2,FALSE)</f>
        <v>13990276572</v>
      </c>
      <c r="L3555" s="122" t="str">
        <f>VLOOKUP(B3555,辅助信息!E:J,6,FALSE)</f>
        <v>联系实际收货人（彭江涛13990276572）现场要求炉批号控制2个以下，超2个不给予签收。提前联系到场规格及数量</v>
      </c>
      <c r="M3555" s="91">
        <v>45920</v>
      </c>
      <c r="O3555" s="62">
        <f ca="1" t="shared" si="194"/>
        <v>0</v>
      </c>
      <c r="P3555" s="62">
        <f ca="1" t="shared" si="195"/>
        <v>40</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0" t="s">
        <v>186</v>
      </c>
      <c r="C3556" s="70">
        <v>45919</v>
      </c>
      <c r="D3556" s="120" t="str">
        <f>VLOOKUP(B3556,辅助信息!E:K,7,FALSE)</f>
        <v>JWDDCD2025072900123</v>
      </c>
      <c r="E3556" s="120" t="str">
        <f>VLOOKUP(F3556,辅助信息!A:B,2,FALSE)</f>
        <v>螺纹钢</v>
      </c>
      <c r="F3556" s="120" t="s">
        <v>21</v>
      </c>
      <c r="G3556" s="121">
        <v>18</v>
      </c>
      <c r="H3556" s="134">
        <f>IF(SUMIFS('[1]2025年已发货'!$E:$E,'[1]2025年已发货'!$F:$F,C3556,'[1]2025年已发货'!$C:$C,F3556,'[1]2025年已发货'!$G:$G,I3556,'[1]2025年已发货'!$H:$H,J3556)=0,"未发货",SUMIFS('[1]2025年已发货'!$E:$E,'[1]2025年已发货'!$F:$F,C3556,'[1]2025年已发货'!$C:$C,F3556,'[1]2025年已发货'!$G:$G,I3556,'[1]2025年已发货'!$H:$H,J3556))</f>
        <v>18</v>
      </c>
      <c r="I3556" s="120" t="str">
        <f>VLOOKUP(B3556,辅助信息!E:I,3,FALSE)</f>
        <v>(乐山市校地共建产教融合基地建设项目二标段)四川省乐山市市中区苏稽镇</v>
      </c>
      <c r="J3556" s="120" t="str">
        <f>VLOOKUP(B3556,辅助信息!E:I,4,FALSE)</f>
        <v>彭江涛</v>
      </c>
      <c r="K3556" s="120">
        <f>VLOOKUP(J3556,辅助信息!H:I,2,FALSE)</f>
        <v>13990276572</v>
      </c>
      <c r="L3556" s="122" t="str">
        <f>VLOOKUP(B3556,辅助信息!E:J,6,FALSE)</f>
        <v>联系实际收货人（彭江涛13990276572）现场要求炉批号控制2个以下，超2个不给予签收。提前联系到场规格及数量</v>
      </c>
      <c r="M3556" s="91">
        <v>45920</v>
      </c>
      <c r="O3556" s="62">
        <f ca="1" t="shared" si="194"/>
        <v>0</v>
      </c>
      <c r="P3556" s="62">
        <f ca="1" t="shared" si="195"/>
        <v>40</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0" t="s">
        <v>186</v>
      </c>
      <c r="C3557" s="70">
        <v>45919</v>
      </c>
      <c r="D3557" s="120" t="str">
        <f>VLOOKUP(B3557,辅助信息!E:K,7,FALSE)</f>
        <v>JWDDCD2025072900123</v>
      </c>
      <c r="E3557" s="120" t="str">
        <f>VLOOKUP(F3557,辅助信息!A:B,2,FALSE)</f>
        <v>螺纹钢</v>
      </c>
      <c r="F3557" s="120" t="s">
        <v>198</v>
      </c>
      <c r="G3557" s="121">
        <v>4</v>
      </c>
      <c r="H3557" s="134"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0" t="str">
        <f>VLOOKUP(B3557,辅助信息!E:I,3,FALSE)</f>
        <v>(乐山市校地共建产教融合基地建设项目二标段)四川省乐山市市中区苏稽镇</v>
      </c>
      <c r="J3557" s="120" t="str">
        <f>VLOOKUP(B3557,辅助信息!E:I,4,FALSE)</f>
        <v>彭江涛</v>
      </c>
      <c r="K3557" s="120">
        <f>VLOOKUP(J3557,辅助信息!H:I,2,FALSE)</f>
        <v>13990276572</v>
      </c>
      <c r="L3557" s="122" t="str">
        <f>VLOOKUP(B3557,辅助信息!E:J,6,FALSE)</f>
        <v>联系实际收货人（彭江涛13990276572）现场要求炉批号控制2个以下，超2个不给予签收。提前联系到场规格及数量</v>
      </c>
      <c r="M3557" s="91">
        <v>45920</v>
      </c>
      <c r="O3557" s="62">
        <f ca="1" t="shared" si="194"/>
        <v>0</v>
      </c>
      <c r="P3557" s="62">
        <f ca="1" t="shared" si="195"/>
        <v>40</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0" t="s">
        <v>186</v>
      </c>
      <c r="C3558" s="70">
        <v>45919</v>
      </c>
      <c r="D3558" s="120" t="str">
        <f>VLOOKUP(B3558,辅助信息!E:K,7,FALSE)</f>
        <v>JWDDCD2025072900123</v>
      </c>
      <c r="E3558" s="120" t="str">
        <f>VLOOKUP(F3558,辅助信息!A:B,2,FALSE)</f>
        <v>螺纹钢</v>
      </c>
      <c r="F3558" s="120" t="s">
        <v>58</v>
      </c>
      <c r="G3558" s="121">
        <v>15</v>
      </c>
      <c r="H3558" s="134">
        <f>IF(SUMIFS('[1]2025年已发货'!$E:$E,'[1]2025年已发货'!$F:$F,C3558,'[1]2025年已发货'!$C:$C,F3558,'[1]2025年已发货'!$G:$G,I3558,'[1]2025年已发货'!$H:$H,J3558)=0,"未发货",SUMIFS('[1]2025年已发货'!$E:$E,'[1]2025年已发货'!$F:$F,C3558,'[1]2025年已发货'!$C:$C,F3558,'[1]2025年已发货'!$G:$G,I3558,'[1]2025年已发货'!$H:$H,J3558))</f>
        <v>15</v>
      </c>
      <c r="I3558" s="120" t="str">
        <f>VLOOKUP(B3558,辅助信息!E:I,3,FALSE)</f>
        <v>(乐山市校地共建产教融合基地建设项目二标段)四川省乐山市市中区苏稽镇</v>
      </c>
      <c r="J3558" s="120" t="str">
        <f>VLOOKUP(B3558,辅助信息!E:I,4,FALSE)</f>
        <v>彭江涛</v>
      </c>
      <c r="K3558" s="120">
        <f>VLOOKUP(J3558,辅助信息!H:I,2,FALSE)</f>
        <v>13990276572</v>
      </c>
      <c r="L3558" s="122" t="str">
        <f>VLOOKUP(B3558,辅助信息!E:J,6,FALSE)</f>
        <v>联系实际收货人（彭江涛13990276572）现场要求炉批号控制2个以下，超2个不给予签收。提前联系到场规格及数量</v>
      </c>
      <c r="M3558" s="91">
        <v>45920</v>
      </c>
      <c r="O3558" s="62">
        <f ca="1" t="shared" si="194"/>
        <v>0</v>
      </c>
      <c r="P3558" s="62">
        <f ca="1" t="shared" si="195"/>
        <v>40</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0" t="s">
        <v>186</v>
      </c>
      <c r="C3559" s="70">
        <v>45919</v>
      </c>
      <c r="D3559" s="120" t="str">
        <f>VLOOKUP(B3559,辅助信息!E:K,7,FALSE)</f>
        <v>JWDDCD2025072900123</v>
      </c>
      <c r="E3559" s="120" t="str">
        <f>VLOOKUP(F3559,辅助信息!A:B,2,FALSE)</f>
        <v>螺纹钢</v>
      </c>
      <c r="F3559" s="120" t="s">
        <v>199</v>
      </c>
      <c r="G3559" s="121">
        <v>17</v>
      </c>
      <c r="H3559" s="134"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0" t="str">
        <f>VLOOKUP(B3559,辅助信息!E:I,3,FALSE)</f>
        <v>(乐山市校地共建产教融合基地建设项目二标段)四川省乐山市市中区苏稽镇</v>
      </c>
      <c r="J3559" s="120" t="str">
        <f>VLOOKUP(B3559,辅助信息!E:I,4,FALSE)</f>
        <v>彭江涛</v>
      </c>
      <c r="K3559" s="120">
        <f>VLOOKUP(J3559,辅助信息!H:I,2,FALSE)</f>
        <v>13990276572</v>
      </c>
      <c r="L3559" s="122" t="str">
        <f>VLOOKUP(B3559,辅助信息!E:J,6,FALSE)</f>
        <v>联系实际收货人（彭江涛13990276572）现场要求炉批号控制2个以下，超2个不给予签收。提前联系到场规格及数量</v>
      </c>
      <c r="M3559" s="91">
        <v>45920</v>
      </c>
      <c r="O3559" s="62">
        <f ca="1" t="shared" si="194"/>
        <v>0</v>
      </c>
      <c r="P3559" s="62">
        <f ca="1" t="shared" si="195"/>
        <v>40</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0" t="s">
        <v>186</v>
      </c>
      <c r="C3560" s="70">
        <v>45919</v>
      </c>
      <c r="D3560" s="120" t="str">
        <f>VLOOKUP(B3560,辅助信息!E:K,7,FALSE)</f>
        <v>JWDDCD2025072900123</v>
      </c>
      <c r="E3560" s="120" t="str">
        <f>VLOOKUP(F3560,辅助信息!A:B,2,FALSE)</f>
        <v>螺纹钢</v>
      </c>
      <c r="F3560" s="120" t="s">
        <v>141</v>
      </c>
      <c r="G3560" s="121">
        <v>16</v>
      </c>
      <c r="H3560" s="134">
        <f>IF(SUMIFS('[1]2025年已发货'!$E:$E,'[1]2025年已发货'!$F:$F,C3560,'[1]2025年已发货'!$C:$C,F3560,'[1]2025年已发货'!$G:$G,I3560,'[1]2025年已发货'!$H:$H,J3560)=0,"未发货",SUMIFS('[1]2025年已发货'!$E:$E,'[1]2025年已发货'!$F:$F,C3560,'[1]2025年已发货'!$C:$C,F3560,'[1]2025年已发货'!$G:$G,I3560,'[1]2025年已发货'!$H:$H,J3560))</f>
        <v>16</v>
      </c>
      <c r="I3560" s="120" t="str">
        <f>VLOOKUP(B3560,辅助信息!E:I,3,FALSE)</f>
        <v>(乐山市校地共建产教融合基地建设项目二标段)四川省乐山市市中区苏稽镇</v>
      </c>
      <c r="J3560" s="120" t="str">
        <f>VLOOKUP(B3560,辅助信息!E:I,4,FALSE)</f>
        <v>彭江涛</v>
      </c>
      <c r="K3560" s="120">
        <f>VLOOKUP(J3560,辅助信息!H:I,2,FALSE)</f>
        <v>13990276572</v>
      </c>
      <c r="L3560" s="122" t="str">
        <f>VLOOKUP(B3560,辅助信息!E:J,6,FALSE)</f>
        <v>联系实际收货人（彭江涛13990276572）现场要求炉批号控制2个以下，超2个不给予签收。提前联系到场规格及数量</v>
      </c>
      <c r="M3560" s="91">
        <v>45920</v>
      </c>
      <c r="O3560" s="62">
        <f ca="1" t="shared" si="194"/>
        <v>0</v>
      </c>
      <c r="P3560" s="62">
        <f ca="1" t="shared" si="195"/>
        <v>40</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0" t="s">
        <v>186</v>
      </c>
      <c r="C3561" s="70">
        <v>45919</v>
      </c>
      <c r="D3561" s="120" t="str">
        <f>VLOOKUP(B3561,辅助信息!E:K,7,FALSE)</f>
        <v>JWDDCD2025072900123</v>
      </c>
      <c r="E3561" s="120" t="str">
        <f>VLOOKUP(F3561,辅助信息!A:B,2,FALSE)</f>
        <v>螺纹钢</v>
      </c>
      <c r="F3561" s="120" t="s">
        <v>142</v>
      </c>
      <c r="G3561" s="121">
        <v>60</v>
      </c>
      <c r="H3561" s="134"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0" t="str">
        <f>VLOOKUP(B3561,辅助信息!E:I,3,FALSE)</f>
        <v>(乐山市校地共建产教融合基地建设项目二标段)四川省乐山市市中区苏稽镇</v>
      </c>
      <c r="J3561" s="120" t="str">
        <f>VLOOKUP(B3561,辅助信息!E:I,4,FALSE)</f>
        <v>彭江涛</v>
      </c>
      <c r="K3561" s="120">
        <f>VLOOKUP(J3561,辅助信息!H:I,2,FALSE)</f>
        <v>13990276572</v>
      </c>
      <c r="L3561" s="122" t="str">
        <f>VLOOKUP(B3561,辅助信息!E:J,6,FALSE)</f>
        <v>联系实际收货人（彭江涛13990276572）现场要求炉批号控制2个以下，超2个不给予签收。提前联系到场规格及数量</v>
      </c>
      <c r="M3561" s="91">
        <v>45920</v>
      </c>
      <c r="O3561" s="62">
        <f ca="1" t="shared" si="194"/>
        <v>0</v>
      </c>
      <c r="P3561" s="62">
        <f ca="1" t="shared" si="195"/>
        <v>40</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0" t="s">
        <v>186</v>
      </c>
      <c r="C3562" s="70">
        <v>45919</v>
      </c>
      <c r="D3562" s="120" t="str">
        <f>VLOOKUP(B3562,辅助信息!E:K,7,FALSE)</f>
        <v>JWDDCD2025072900123</v>
      </c>
      <c r="E3562" s="120" t="str">
        <f>VLOOKUP(F3562,辅助信息!A:B,2,FALSE)</f>
        <v>盘螺</v>
      </c>
      <c r="F3562" s="120" t="s">
        <v>41</v>
      </c>
      <c r="G3562" s="121">
        <v>3</v>
      </c>
      <c r="H3562" s="134"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0" t="str">
        <f>VLOOKUP(B3562,辅助信息!E:I,3,FALSE)</f>
        <v>(乐山市校地共建产教融合基地建设项目二标段)四川省乐山市市中区苏稽镇</v>
      </c>
      <c r="J3562" s="120" t="str">
        <f>VLOOKUP(B3562,辅助信息!E:I,4,FALSE)</f>
        <v>彭江涛</v>
      </c>
      <c r="K3562" s="120">
        <f>VLOOKUP(J3562,辅助信息!H:I,2,FALSE)</f>
        <v>13990276572</v>
      </c>
      <c r="L3562" s="122" t="str">
        <f>VLOOKUP(B3562,辅助信息!E:J,6,FALSE)</f>
        <v>联系实际收货人（彭江涛13990276572）现场要求炉批号控制2个以下，超2个不给予签收。提前联系到场规格及数量</v>
      </c>
      <c r="M3562" s="91">
        <v>45920</v>
      </c>
      <c r="O3562" s="62">
        <f ca="1" t="shared" si="194"/>
        <v>0</v>
      </c>
      <c r="P3562" s="62">
        <f ca="1" t="shared" si="195"/>
        <v>40</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0" t="s">
        <v>186</v>
      </c>
      <c r="C3563" s="70">
        <v>45919</v>
      </c>
      <c r="D3563" s="120" t="str">
        <f>VLOOKUP(B3563,辅助信息!E:K,7,FALSE)</f>
        <v>JWDDCD2025072900123</v>
      </c>
      <c r="E3563" s="120" t="str">
        <f>VLOOKUP(F3563,辅助信息!A:B,2,FALSE)</f>
        <v>盘螺</v>
      </c>
      <c r="F3563" s="120" t="s">
        <v>26</v>
      </c>
      <c r="G3563" s="121">
        <v>10</v>
      </c>
      <c r="H3563" s="134"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0" t="str">
        <f>VLOOKUP(B3563,辅助信息!E:I,3,FALSE)</f>
        <v>(乐山市校地共建产教融合基地建设项目二标段)四川省乐山市市中区苏稽镇</v>
      </c>
      <c r="J3563" s="120" t="str">
        <f>VLOOKUP(B3563,辅助信息!E:I,4,FALSE)</f>
        <v>彭江涛</v>
      </c>
      <c r="K3563" s="120">
        <f>VLOOKUP(J3563,辅助信息!H:I,2,FALSE)</f>
        <v>13990276572</v>
      </c>
      <c r="L3563" s="122" t="str">
        <f>VLOOKUP(B3563,辅助信息!E:J,6,FALSE)</f>
        <v>联系实际收货人（彭江涛13990276572）现场要求炉批号控制2个以下，超2个不给予签收。提前联系到场规格及数量</v>
      </c>
      <c r="M3563" s="91">
        <v>45920</v>
      </c>
      <c r="O3563" s="62">
        <f ca="1" t="shared" si="194"/>
        <v>0</v>
      </c>
      <c r="P3563" s="62">
        <f ca="1" t="shared" si="195"/>
        <v>40</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0" t="s">
        <v>186</v>
      </c>
      <c r="C3564" s="70">
        <v>45919</v>
      </c>
      <c r="D3564" s="120" t="str">
        <f>VLOOKUP(B3564,辅助信息!E:K,7,FALSE)</f>
        <v>JWDDCD2025072900123</v>
      </c>
      <c r="E3564" s="120" t="str">
        <f>VLOOKUP(F3564,辅助信息!A:B,2,FALSE)</f>
        <v>盘螺</v>
      </c>
      <c r="F3564" s="120" t="s">
        <v>49</v>
      </c>
      <c r="G3564" s="121">
        <v>5</v>
      </c>
      <c r="H3564" s="134"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0" t="str">
        <f>VLOOKUP(B3564,辅助信息!E:I,3,FALSE)</f>
        <v>(乐山市校地共建产教融合基地建设项目二标段)四川省乐山市市中区苏稽镇</v>
      </c>
      <c r="J3564" s="120" t="str">
        <f>VLOOKUP(B3564,辅助信息!E:I,4,FALSE)</f>
        <v>彭江涛</v>
      </c>
      <c r="K3564" s="120">
        <f>VLOOKUP(J3564,辅助信息!H:I,2,FALSE)</f>
        <v>13990276572</v>
      </c>
      <c r="L3564" s="122" t="str">
        <f>VLOOKUP(B3564,辅助信息!E:J,6,FALSE)</f>
        <v>联系实际收货人（彭江涛13990276572）现场要求炉批号控制2个以下，超2个不给予签收。提前联系到场规格及数量</v>
      </c>
      <c r="M3564" s="91">
        <v>45920</v>
      </c>
      <c r="O3564" s="62">
        <f ca="1" t="shared" si="194"/>
        <v>0</v>
      </c>
      <c r="P3564" s="62">
        <f ca="1" t="shared" si="195"/>
        <v>40</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7" t="s">
        <v>187</v>
      </c>
      <c r="C3565" s="70">
        <v>45919</v>
      </c>
      <c r="D3565" s="40" t="str">
        <f>VLOOKUP(B3565,辅助信息!E:K,7,FALSE)</f>
        <v>JWDDCD2025072900121</v>
      </c>
      <c r="E3565" s="40" t="str">
        <f>VLOOKUP(F3565,辅助信息!A:B,2,FALSE)</f>
        <v>盘螺</v>
      </c>
      <c r="F3565" s="40" t="s">
        <v>41</v>
      </c>
      <c r="G3565" s="36">
        <v>10</v>
      </c>
      <c r="H3565" s="134">
        <f>IF(SUMIFS('[1]2025年已发货'!$E:$E,'[1]2025年已发货'!$F:$F,C3565,'[1]2025年已发货'!$C:$C,F3565,'[1]2025年已发货'!$G:$G,I3565,'[1]2025年已发货'!$H:$H,J3565)=0,"未发货",SUMIFS('[1]2025年已发货'!$E:$E,'[1]2025年已发货'!$F:$F,C3565,'[1]2025年已发货'!$C:$C,F3565,'[1]2025年已发货'!$G:$G,I3565,'[1]2025年已发货'!$H:$H,J3565))</f>
        <v>10</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09" t="str">
        <f>VLOOKUP(B3565,辅助信息!E:J,6,FALSE)</f>
        <v>联系实际收货人（范增云13668153241）现场要求炉批号控制2个以下，超2个不给予签收。提前联系到场规格及数量</v>
      </c>
      <c r="O3565" s="62" t="str">
        <f ca="1" t="shared" si="194"/>
        <v/>
      </c>
      <c r="P3565" s="62"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7" t="s">
        <v>187</v>
      </c>
      <c r="C3566" s="70">
        <v>45919</v>
      </c>
      <c r="D3566" s="40" t="str">
        <f>VLOOKUP(B3566,辅助信息!E:K,7,FALSE)</f>
        <v>JWDDCD2025072900121</v>
      </c>
      <c r="E3566" s="40" t="str">
        <f>VLOOKUP(F3566,辅助信息!A:B,2,FALSE)</f>
        <v>螺纹钢</v>
      </c>
      <c r="F3566" s="40" t="s">
        <v>21</v>
      </c>
      <c r="G3566" s="36">
        <v>5</v>
      </c>
      <c r="H3566" s="134">
        <f>IF(SUMIFS('[1]2025年已发货'!$E:$E,'[1]2025年已发货'!$F:$F,C3566,'[1]2025年已发货'!$C:$C,F3566,'[1]2025年已发货'!$G:$G,I3566,'[1]2025年已发货'!$H:$H,J3566)=0,"未发货",SUMIFS('[1]2025年已发货'!$E:$E,'[1]2025年已发货'!$F:$F,C3566,'[1]2025年已发货'!$C:$C,F3566,'[1]2025年已发货'!$G:$G,I3566,'[1]2025年已发货'!$H:$H,J3566))</f>
        <v>5</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09" t="str">
        <f>VLOOKUP(B3566,辅助信息!E:J,6,FALSE)</f>
        <v>联系实际收货人（范增云13668153241）现场要求炉批号控制2个以下，超2个不给予签收。提前联系到场规格及数量</v>
      </c>
      <c r="O3566" s="62" t="str">
        <f ca="1" t="shared" si="194"/>
        <v/>
      </c>
      <c r="P3566" s="62"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7" t="s">
        <v>187</v>
      </c>
      <c r="C3567" s="70">
        <v>45919</v>
      </c>
      <c r="D3567" s="40" t="str">
        <f>VLOOKUP(B3567,辅助信息!E:K,7,FALSE)</f>
        <v>JWDDCD2025072900121</v>
      </c>
      <c r="E3567" s="40" t="str">
        <f>VLOOKUP(F3567,辅助信息!A:B,2,FALSE)</f>
        <v>螺纹钢</v>
      </c>
      <c r="F3567" s="40" t="s">
        <v>46</v>
      </c>
      <c r="G3567" s="36">
        <v>5</v>
      </c>
      <c r="H3567" s="134">
        <f>IF(SUMIFS('[1]2025年已发货'!$E:$E,'[1]2025年已发货'!$F:$F,C3567,'[1]2025年已发货'!$C:$C,F3567,'[1]2025年已发货'!$G:$G,I3567,'[1]2025年已发货'!$H:$H,J3567)=0,"未发货",SUMIFS('[1]2025年已发货'!$E:$E,'[1]2025年已发货'!$F:$F,C3567,'[1]2025年已发货'!$C:$C,F3567,'[1]2025年已发货'!$G:$G,I3567,'[1]2025年已发货'!$H:$H,J3567))</f>
        <v>5</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09" t="str">
        <f>VLOOKUP(B3567,辅助信息!E:J,6,FALSE)</f>
        <v>联系实际收货人（范增云13668153241）现场要求炉批号控制2个以下，超2个不给予签收。提前联系到场规格及数量</v>
      </c>
      <c r="O3567" s="62" t="str">
        <f ca="1" t="shared" si="194"/>
        <v/>
      </c>
      <c r="P3567" s="62"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7" t="s">
        <v>187</v>
      </c>
      <c r="C3568" s="70">
        <v>45919</v>
      </c>
      <c r="D3568" s="40" t="str">
        <f>VLOOKUP(B3568,辅助信息!E:K,7,FALSE)</f>
        <v>JWDDCD2025072900121</v>
      </c>
      <c r="E3568" s="40" t="str">
        <f>VLOOKUP(F3568,辅助信息!A:B,2,FALSE)</f>
        <v>螺纹钢</v>
      </c>
      <c r="F3568" s="40" t="s">
        <v>22</v>
      </c>
      <c r="G3568" s="36">
        <v>10</v>
      </c>
      <c r="H3568" s="134">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09" t="str">
        <f>VLOOKUP(B3568,辅助信息!E:J,6,FALSE)</f>
        <v>联系实际收货人（范增云13668153241）现场要求炉批号控制2个以下，超2个不给予签收。提前联系到场规格及数量</v>
      </c>
      <c r="O3568" s="62" t="str">
        <f ca="1" t="shared" si="194"/>
        <v/>
      </c>
      <c r="P3568" s="62"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7" t="s">
        <v>187</v>
      </c>
      <c r="C3569" s="70">
        <v>45919</v>
      </c>
      <c r="D3569" s="40" t="str">
        <f>VLOOKUP(B3569,辅助信息!E:K,7,FALSE)</f>
        <v>JWDDCD2025072900121</v>
      </c>
      <c r="E3569" s="40" t="str">
        <f>VLOOKUP(F3569,辅助信息!A:B,2,FALSE)</f>
        <v>螺纹钢</v>
      </c>
      <c r="F3569" s="40" t="s">
        <v>181</v>
      </c>
      <c r="G3569" s="36">
        <v>5</v>
      </c>
      <c r="H3569" s="134">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09" t="str">
        <f>VLOOKUP(B3569,辅助信息!E:J,6,FALSE)</f>
        <v>联系实际收货人（范增云13668153241）现场要求炉批号控制2个以下，超2个不给予签收。提前联系到场规格及数量</v>
      </c>
      <c r="O3569" s="62" t="str">
        <f ca="1" t="shared" si="194"/>
        <v/>
      </c>
      <c r="P3569" s="62"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7" t="s">
        <v>187</v>
      </c>
      <c r="C3570" s="70">
        <v>45919</v>
      </c>
      <c r="D3570" s="40" t="str">
        <f>VLOOKUP(B3570,辅助信息!E:K,7,FALSE)</f>
        <v>JWDDCD2025072900121</v>
      </c>
      <c r="E3570" s="40" t="str">
        <f>VLOOKUP(F3570,辅助信息!A:B,2,FALSE)</f>
        <v>螺纹钢</v>
      </c>
      <c r="F3570" s="40" t="s">
        <v>22</v>
      </c>
      <c r="G3570" s="36">
        <v>20</v>
      </c>
      <c r="H3570" s="134">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09" t="str">
        <f>VLOOKUP(B3570,辅助信息!E:J,6,FALSE)</f>
        <v>联系实际收货人（范增云13668153241）现场要求炉批号控制2个以下，超2个不给予签收。提前联系到场规格及数量</v>
      </c>
      <c r="O3570" s="62" t="str">
        <f ca="1" t="shared" si="194"/>
        <v/>
      </c>
      <c r="P3570" s="62"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7" t="s">
        <v>187</v>
      </c>
      <c r="C3571" s="70">
        <v>45919</v>
      </c>
      <c r="D3571" s="40" t="str">
        <f>VLOOKUP(B3571,辅助信息!E:K,7,FALSE)</f>
        <v>JWDDCD2025072900121</v>
      </c>
      <c r="E3571" s="40" t="str">
        <f>VLOOKUP(F3571,辅助信息!A:B,2,FALSE)</f>
        <v>螺纹钢</v>
      </c>
      <c r="F3571" s="40" t="s">
        <v>142</v>
      </c>
      <c r="G3571" s="36">
        <v>15</v>
      </c>
      <c r="H3571" s="134">
        <f>IF(SUMIFS('[1]2025年已发货'!$E:$E,'[1]2025年已发货'!$F:$F,C3571,'[1]2025年已发货'!$C:$C,F3571,'[1]2025年已发货'!$G:$G,I3571,'[1]2025年已发货'!$H:$H,J3571)=0,"未发货",SUMIFS('[1]2025年已发货'!$E:$E,'[1]2025年已发货'!$F:$F,C3571,'[1]2025年已发货'!$C:$C,F3571,'[1]2025年已发货'!$G:$G,I3571,'[1]2025年已发货'!$H:$H,J3571))</f>
        <v>15</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09" t="str">
        <f>VLOOKUP(B3571,辅助信息!E:J,6,FALSE)</f>
        <v>联系实际收货人（范增云13668153241）现场要求炉批号控制2个以下，超2个不给予签收。提前联系到场规格及数量</v>
      </c>
      <c r="O3571" s="62" t="str">
        <f ca="1" t="shared" si="194"/>
        <v/>
      </c>
      <c r="P3571" s="62"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0">
        <v>45919</v>
      </c>
      <c r="D3572" s="40" t="str">
        <f>VLOOKUP(B3572,辅助信息!E:K,7,FALSE)</f>
        <v>JWDD2025071500089</v>
      </c>
      <c r="E3572" s="40" t="str">
        <f>VLOOKUP(F3572,辅助信息!A:B,2,FALSE)</f>
        <v>盘螺</v>
      </c>
      <c r="F3572" s="40" t="s">
        <v>41</v>
      </c>
      <c r="G3572" s="146">
        <v>21.3</v>
      </c>
      <c r="H3572" s="134"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09" t="str">
        <f>VLOOKUP(B3572,辅助信息!E:J,6,FALSE)</f>
        <v>现场要求调度统一联系指定收货人，不单独发司机位置。锈货不收，装货前联系收货人核实到场规格,没提前告知进场规格现场不给予接收</v>
      </c>
      <c r="M3572" s="91">
        <v>45920</v>
      </c>
      <c r="O3572" s="62">
        <f ca="1" t="shared" si="194"/>
        <v>0</v>
      </c>
      <c r="P3572" s="62">
        <f ca="1" t="shared" si="195"/>
        <v>40</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0">
        <v>45919</v>
      </c>
      <c r="D3573" s="40" t="str">
        <f>VLOOKUP(B3573,辅助信息!E:K,7,FALSE)</f>
        <v>JWDD2025071500089</v>
      </c>
      <c r="E3573" s="40" t="str">
        <f>VLOOKUP(F3573,辅助信息!A:B,2,FALSE)</f>
        <v>盘螺</v>
      </c>
      <c r="F3573" s="40" t="s">
        <v>26</v>
      </c>
      <c r="G3573" s="146">
        <v>2.5</v>
      </c>
      <c r="H3573" s="134">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09" t="str">
        <f>VLOOKUP(B3573,辅助信息!E:J,6,FALSE)</f>
        <v>现场要求调度统一联系指定收货人，不单独发司机位置。锈货不收，装货前联系收货人核实到场规格,没提前告知进场规格现场不给予接收</v>
      </c>
      <c r="M3573" s="91">
        <v>45920</v>
      </c>
      <c r="O3573" s="62">
        <f ca="1" t="shared" si="194"/>
        <v>0</v>
      </c>
      <c r="P3573" s="62">
        <f ca="1" t="shared" si="195"/>
        <v>40</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0">
        <v>45919</v>
      </c>
      <c r="D3574" s="40" t="str">
        <f>VLOOKUP(B3574,辅助信息!E:K,7,FALSE)</f>
        <v>JWDD2025071500089</v>
      </c>
      <c r="E3574" s="40" t="str">
        <f>VLOOKUP(F3574,辅助信息!A:B,2,FALSE)</f>
        <v>螺纹钢</v>
      </c>
      <c r="F3574" s="40" t="s">
        <v>27</v>
      </c>
      <c r="G3574" s="146">
        <v>15</v>
      </c>
      <c r="H3574" s="134">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09" t="str">
        <f>VLOOKUP(B3574,辅助信息!E:J,6,FALSE)</f>
        <v>现场要求调度统一联系指定收货人，不单独发司机位置。锈货不收，装货前联系收货人核实到场规格,没提前告知进场规格现场不给予接收</v>
      </c>
      <c r="M3574" s="91">
        <v>45920</v>
      </c>
      <c r="O3574" s="62">
        <f ca="1" t="shared" si="194"/>
        <v>0</v>
      </c>
      <c r="P3574" s="62">
        <f ca="1" t="shared" si="195"/>
        <v>40</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0">
        <v>45919</v>
      </c>
      <c r="D3575" s="40" t="str">
        <f>VLOOKUP(B3575,辅助信息!E:K,7,FALSE)</f>
        <v>JWDD2025071500089</v>
      </c>
      <c r="E3575" s="40" t="str">
        <f>VLOOKUP(F3575,辅助信息!A:B,2,FALSE)</f>
        <v>螺纹钢</v>
      </c>
      <c r="F3575" s="40" t="s">
        <v>19</v>
      </c>
      <c r="G3575" s="146">
        <v>35</v>
      </c>
      <c r="H3575" s="134">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09" t="str">
        <f>VLOOKUP(B3575,辅助信息!E:J,6,FALSE)</f>
        <v>现场要求调度统一联系指定收货人，不单独发司机位置。锈货不收，装货前联系收货人核实到场规格,没提前告知进场规格现场不给予接收</v>
      </c>
      <c r="M3575" s="91">
        <v>45920</v>
      </c>
      <c r="O3575" s="62">
        <f ca="1" t="shared" si="194"/>
        <v>0</v>
      </c>
      <c r="P3575" s="62">
        <f ca="1" t="shared" si="195"/>
        <v>40</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0">
        <v>45919</v>
      </c>
      <c r="D3576" s="40" t="str">
        <f>VLOOKUP(B3576,辅助信息!E:K,7,FALSE)</f>
        <v>JWDD2025071500089</v>
      </c>
      <c r="E3576" s="40" t="str">
        <f>VLOOKUP(F3576,辅助信息!A:B,2,FALSE)</f>
        <v>螺纹钢</v>
      </c>
      <c r="F3576" s="40" t="s">
        <v>30</v>
      </c>
      <c r="G3576" s="146">
        <v>12.5</v>
      </c>
      <c r="H3576" s="134">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09" t="str">
        <f>VLOOKUP(B3576,辅助信息!E:J,6,FALSE)</f>
        <v>现场要求调度统一联系指定收货人，不单独发司机位置。锈货不收，装货前联系收货人核实到场规格,没提前告知进场规格现场不给予接收</v>
      </c>
      <c r="M3576" s="91">
        <v>45920</v>
      </c>
      <c r="O3576" s="62">
        <f ca="1" t="shared" si="194"/>
        <v>0</v>
      </c>
      <c r="P3576" s="62">
        <f ca="1" t="shared" si="195"/>
        <v>40</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0">
        <v>45919</v>
      </c>
      <c r="D3577" s="40" t="str">
        <f>VLOOKUP(B3577,辅助信息!E:K,7,FALSE)</f>
        <v>JWDD2025071500089</v>
      </c>
      <c r="E3577" s="40" t="str">
        <f>VLOOKUP(F3577,辅助信息!A:B,2,FALSE)</f>
        <v>螺纹钢</v>
      </c>
      <c r="F3577" s="40" t="s">
        <v>33</v>
      </c>
      <c r="G3577" s="146">
        <v>10</v>
      </c>
      <c r="H3577" s="134">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09" t="str">
        <f>VLOOKUP(B3577,辅助信息!E:J,6,FALSE)</f>
        <v>现场要求调度统一联系指定收货人，不单独发司机位置。锈货不收，装货前联系收货人核实到场规格,没提前告知进场规格现场不给予接收</v>
      </c>
      <c r="M3577" s="91">
        <v>45920</v>
      </c>
      <c r="O3577" s="62">
        <f ca="1" t="shared" si="194"/>
        <v>0</v>
      </c>
      <c r="P3577" s="62">
        <f ca="1" t="shared" si="195"/>
        <v>40</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0">
        <v>45919</v>
      </c>
      <c r="D3578" s="40" t="str">
        <f>VLOOKUP(B3578,辅助信息!E:K,7,FALSE)</f>
        <v>JWDD2025071500089</v>
      </c>
      <c r="E3578" s="40" t="str">
        <f>VLOOKUP(F3578,辅助信息!A:B,2,FALSE)</f>
        <v>螺纹钢</v>
      </c>
      <c r="F3578" s="40" t="s">
        <v>28</v>
      </c>
      <c r="G3578" s="146">
        <v>10</v>
      </c>
      <c r="H3578" s="134">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09" t="str">
        <f>VLOOKUP(B3578,辅助信息!E:J,6,FALSE)</f>
        <v>现场要求调度统一联系指定收货人，不单独发司机位置。锈货不收，装货前联系收货人核实到场规格,没提前告知进场规格现场不给予接收</v>
      </c>
      <c r="M3578" s="91">
        <v>45920</v>
      </c>
      <c r="O3578" s="62">
        <f ca="1" t="shared" si="194"/>
        <v>0</v>
      </c>
      <c r="P3578" s="62">
        <f ca="1" t="shared" si="195"/>
        <v>40</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0">
        <v>45919</v>
      </c>
      <c r="D3579" s="40" t="str">
        <f>VLOOKUP(B3579,辅助信息!E:K,7,FALSE)</f>
        <v>JWDD2025071500089</v>
      </c>
      <c r="E3579" s="40" t="str">
        <f>VLOOKUP(F3579,辅助信息!A:B,2,FALSE)</f>
        <v>螺纹钢</v>
      </c>
      <c r="F3579" s="40" t="s">
        <v>18</v>
      </c>
      <c r="G3579" s="146">
        <v>10</v>
      </c>
      <c r="H3579" s="134">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09" t="str">
        <f>VLOOKUP(B3579,辅助信息!E:J,6,FALSE)</f>
        <v>现场要求调度统一联系指定收货人，不单独发司机位置。锈货不收，装货前联系收货人核实到场规格,没提前告知进场规格现场不给予接收</v>
      </c>
      <c r="M3579" s="91">
        <v>45920</v>
      </c>
      <c r="O3579" s="62">
        <f ca="1" t="shared" si="194"/>
        <v>0</v>
      </c>
      <c r="P3579" s="62">
        <f ca="1" t="shared" si="195"/>
        <v>40</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0">
        <v>45919</v>
      </c>
      <c r="D3580" s="40" t="str">
        <f>VLOOKUP(B3580,辅助信息!E:K,7,FALSE)</f>
        <v>JWDD2025071500089</v>
      </c>
      <c r="E3580" s="40" t="str">
        <f>VLOOKUP(F3580,辅助信息!A:B,2,FALSE)</f>
        <v>盘螺</v>
      </c>
      <c r="F3580" s="40" t="s">
        <v>49</v>
      </c>
      <c r="G3580" s="146">
        <v>4</v>
      </c>
      <c r="H3580" s="134">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09" t="str">
        <f>VLOOKUP(B3580,辅助信息!E:J,6,FALSE)</f>
        <v>现场要求调度统一联系指定收货人，不单独发司机位置。锈货不收，装货前联系收货人核实到场规格,没提前告知进场规格现场不给予接收</v>
      </c>
      <c r="M3580" s="91">
        <v>45920</v>
      </c>
      <c r="O3580" s="62">
        <f ca="1" t="shared" si="194"/>
        <v>0</v>
      </c>
      <c r="P3580" s="62">
        <f ca="1" t="shared" si="195"/>
        <v>40</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0">
        <v>45919</v>
      </c>
      <c r="D3581" s="40" t="str">
        <f>VLOOKUP(B3581,辅助信息!E:K,7,FALSE)</f>
        <v>JWDD2025071500089</v>
      </c>
      <c r="E3581" s="40" t="str">
        <f>VLOOKUP(F3581,辅助信息!A:B,2,FALSE)</f>
        <v>盘螺</v>
      </c>
      <c r="F3581" s="40" t="s">
        <v>40</v>
      </c>
      <c r="G3581" s="146">
        <v>20</v>
      </c>
      <c r="H3581" s="134"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09" t="str">
        <f>VLOOKUP(B3581,辅助信息!E:J,6,FALSE)</f>
        <v>现场要求调度统一联系指定收货人，不单独发司机位置。锈货不收，装货前联系收货人核实到场规格,没提前告知进场规格现场不给予接收</v>
      </c>
      <c r="M3581" s="91">
        <v>45920</v>
      </c>
      <c r="O3581" s="62">
        <f ca="1" t="shared" si="194"/>
        <v>0</v>
      </c>
      <c r="P3581" s="62">
        <f ca="1" t="shared" si="195"/>
        <v>40</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0" t="s">
        <v>176</v>
      </c>
      <c r="C3582" s="70">
        <v>45921</v>
      </c>
      <c r="D3582" s="120" t="str">
        <f>VLOOKUP(B3582,辅助信息!E:K,7,FALSE)</f>
        <v>JWDDCD2025062200016</v>
      </c>
      <c r="E3582" s="120" t="str">
        <f>VLOOKUP(F3582,辅助信息!A:B,2,FALSE)</f>
        <v>盘螺</v>
      </c>
      <c r="F3582" s="120" t="s">
        <v>40</v>
      </c>
      <c r="G3582" s="130">
        <v>5</v>
      </c>
      <c r="H3582" s="134">
        <f>IF(SUMIFS('[1]2025年已发货'!$E:$E,'[1]2025年已发货'!$F:$F,C3582,'[1]2025年已发货'!$C:$C,F3582,'[1]2025年已发货'!$G:$G,I3582,'[1]2025年已发货'!$H:$H,J3582)=0,"未发货",SUMIFS('[1]2025年已发货'!$E:$E,'[1]2025年已发货'!$F:$F,C3582,'[1]2025年已发货'!$C:$C,F3582,'[1]2025年已发货'!$G:$G,I3582,'[1]2025年已发货'!$H:$H,J3582))</f>
        <v>5</v>
      </c>
      <c r="I3582" s="120" t="str">
        <f>VLOOKUP(B3582,辅助信息!E:I,3,FALSE)</f>
        <v>(武汉电气化局成达万高铁强电项目-渠县)四川省达州市渠县渠北镇雷家湾渠县北站旁</v>
      </c>
      <c r="J3582" s="120" t="str">
        <f>VLOOKUP(B3582,辅助信息!E:I,4,FALSE)</f>
        <v>刘频</v>
      </c>
      <c r="K3582" s="120">
        <f>VLOOKUP(J3582,辅助信息!H:I,2,FALSE)</f>
        <v>18779627939</v>
      </c>
      <c r="L3582" s="122" t="str">
        <f>VLOOKUP(B3582,辅助信息!E:J,6,FALSE)</f>
        <v>锈货不收！！下雨天钢筋没盖篷布不收！！，装货前联系收货人核实到场规格,没提前告知进场规格现场不给予接收</v>
      </c>
      <c r="M3582" s="91">
        <v>45918</v>
      </c>
      <c r="O3582" s="62">
        <f ca="1" t="shared" si="194"/>
        <v>0</v>
      </c>
      <c r="P3582" s="62">
        <f ca="1" t="shared" si="195"/>
        <v>42</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0" t="s">
        <v>176</v>
      </c>
      <c r="C3583" s="70">
        <v>45921</v>
      </c>
      <c r="D3583" s="120" t="str">
        <f>VLOOKUP(B3583,辅助信息!E:K,7,FALSE)</f>
        <v>JWDDCD2025062200016</v>
      </c>
      <c r="E3583" s="120" t="str">
        <f>VLOOKUP(F3583,辅助信息!A:B,2,FALSE)</f>
        <v>螺纹钢</v>
      </c>
      <c r="F3583" s="120" t="s">
        <v>30</v>
      </c>
      <c r="G3583" s="130">
        <v>9</v>
      </c>
      <c r="H3583" s="134">
        <f>IF(SUMIFS('[1]2025年已发货'!$E:$E,'[1]2025年已发货'!$F:$F,C3583,'[1]2025年已发货'!$C:$C,F3583,'[1]2025年已发货'!$G:$G,I3583,'[1]2025年已发货'!$H:$H,J3583)=0,"未发货",SUMIFS('[1]2025年已发货'!$E:$E,'[1]2025年已发货'!$F:$F,C3583,'[1]2025年已发货'!$C:$C,F3583,'[1]2025年已发货'!$G:$G,I3583,'[1]2025年已发货'!$H:$H,J3583))</f>
        <v>9</v>
      </c>
      <c r="I3583" s="120" t="str">
        <f>VLOOKUP(B3583,辅助信息!E:I,3,FALSE)</f>
        <v>(武汉电气化局成达万高铁强电项目-渠县)四川省达州市渠县渠北镇雷家湾渠县北站旁</v>
      </c>
      <c r="J3583" s="120" t="str">
        <f>VLOOKUP(B3583,辅助信息!E:I,4,FALSE)</f>
        <v>刘频</v>
      </c>
      <c r="K3583" s="120">
        <f>VLOOKUP(J3583,辅助信息!H:I,2,FALSE)</f>
        <v>18779627939</v>
      </c>
      <c r="L3583" s="122" t="str">
        <f>VLOOKUP(B3583,辅助信息!E:J,6,FALSE)</f>
        <v>锈货不收！！下雨天钢筋没盖篷布不收！！，装货前联系收货人核实到场规格,没提前告知进场规格现场不给予接收</v>
      </c>
      <c r="M3583" s="91">
        <v>45918</v>
      </c>
      <c r="O3583" s="62">
        <f ca="1" t="shared" si="194"/>
        <v>0</v>
      </c>
      <c r="P3583" s="62">
        <f ca="1" t="shared" si="195"/>
        <v>42</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0" t="s">
        <v>176</v>
      </c>
      <c r="C3584" s="70">
        <v>45921</v>
      </c>
      <c r="D3584" s="120" t="str">
        <f>VLOOKUP(B3584,辅助信息!E:K,7,FALSE)</f>
        <v>JWDDCD2025062200016</v>
      </c>
      <c r="E3584" s="120" t="str">
        <f>VLOOKUP(F3584,辅助信息!A:B,2,FALSE)</f>
        <v>螺纹钢</v>
      </c>
      <c r="F3584" s="120" t="s">
        <v>90</v>
      </c>
      <c r="G3584" s="130">
        <v>12</v>
      </c>
      <c r="H3584" s="134">
        <f>IF(SUMIFS('[1]2025年已发货'!$E:$E,'[1]2025年已发货'!$F:$F,C3584,'[1]2025年已发货'!$C:$C,F3584,'[1]2025年已发货'!$G:$G,I3584,'[1]2025年已发货'!$H:$H,J3584)=0,"未发货",SUMIFS('[1]2025年已发货'!$E:$E,'[1]2025年已发货'!$F:$F,C3584,'[1]2025年已发货'!$C:$C,F3584,'[1]2025年已发货'!$G:$G,I3584,'[1]2025年已发货'!$H:$H,J3584))</f>
        <v>12</v>
      </c>
      <c r="I3584" s="120" t="str">
        <f>VLOOKUP(B3584,辅助信息!E:I,3,FALSE)</f>
        <v>(武汉电气化局成达万高铁强电项目-渠县)四川省达州市渠县渠北镇雷家湾渠县北站旁</v>
      </c>
      <c r="J3584" s="120" t="str">
        <f>VLOOKUP(B3584,辅助信息!E:I,4,FALSE)</f>
        <v>刘频</v>
      </c>
      <c r="K3584" s="120">
        <f>VLOOKUP(J3584,辅助信息!H:I,2,FALSE)</f>
        <v>18779627939</v>
      </c>
      <c r="L3584" s="122" t="str">
        <f>VLOOKUP(B3584,辅助信息!E:J,6,FALSE)</f>
        <v>锈货不收！！下雨天钢筋没盖篷布不收！！，装货前联系收货人核实到场规格,没提前告知进场规格现场不给予接收</v>
      </c>
      <c r="M3584" s="91">
        <v>45918</v>
      </c>
      <c r="O3584" s="62">
        <f ca="1" t="shared" si="194"/>
        <v>0</v>
      </c>
      <c r="P3584" s="62">
        <f ca="1" t="shared" si="195"/>
        <v>42</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0" t="s">
        <v>176</v>
      </c>
      <c r="C3585" s="70">
        <v>45921</v>
      </c>
      <c r="D3585" s="120" t="str">
        <f>VLOOKUP(B3585,辅助信息!E:K,7,FALSE)</f>
        <v>JWDDCD2025062200016</v>
      </c>
      <c r="E3585" s="120" t="str">
        <f>VLOOKUP(F3585,辅助信息!A:B,2,FALSE)</f>
        <v>螺纹钢</v>
      </c>
      <c r="F3585" s="120" t="s">
        <v>133</v>
      </c>
      <c r="G3585" s="130">
        <v>9</v>
      </c>
      <c r="H3585" s="134">
        <f>IF(SUMIFS('[1]2025年已发货'!$E:$E,'[1]2025年已发货'!$F:$F,C3585,'[1]2025年已发货'!$C:$C,F3585,'[1]2025年已发货'!$G:$G,I3585,'[1]2025年已发货'!$H:$H,J3585)=0,"未发货",SUMIFS('[1]2025年已发货'!$E:$E,'[1]2025年已发货'!$F:$F,C3585,'[1]2025年已发货'!$C:$C,F3585,'[1]2025年已发货'!$G:$G,I3585,'[1]2025年已发货'!$H:$H,J3585))</f>
        <v>9</v>
      </c>
      <c r="I3585" s="120" t="str">
        <f>VLOOKUP(B3585,辅助信息!E:I,3,FALSE)</f>
        <v>(武汉电气化局成达万高铁强电项目-渠县)四川省达州市渠县渠北镇雷家湾渠县北站旁</v>
      </c>
      <c r="J3585" s="120" t="str">
        <f>VLOOKUP(B3585,辅助信息!E:I,4,FALSE)</f>
        <v>刘频</v>
      </c>
      <c r="K3585" s="120">
        <f>VLOOKUP(J3585,辅助信息!H:I,2,FALSE)</f>
        <v>18779627939</v>
      </c>
      <c r="L3585" s="122" t="str">
        <f>VLOOKUP(B3585,辅助信息!E:J,6,FALSE)</f>
        <v>锈货不收！！下雨天钢筋没盖篷布不收！！，装货前联系收货人核实到场规格,没提前告知进场规格现场不给予接收</v>
      </c>
      <c r="M3585" s="91">
        <v>45918</v>
      </c>
      <c r="O3585" s="62">
        <f ca="1" t="shared" si="194"/>
        <v>0</v>
      </c>
      <c r="P3585" s="62">
        <f ca="1" t="shared" si="195"/>
        <v>42</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0" t="s">
        <v>163</v>
      </c>
      <c r="C3586" s="70">
        <v>45921</v>
      </c>
      <c r="D3586" s="120" t="str">
        <f>VLOOKUP(B3586,辅助信息!E:K,7,FALSE)</f>
        <v>JWDDCD2025052800131</v>
      </c>
      <c r="E3586" s="120" t="str">
        <f>VLOOKUP(F3586,辅助信息!A:B,2,FALSE)</f>
        <v>螺纹钢</v>
      </c>
      <c r="F3586" s="120" t="s">
        <v>21</v>
      </c>
      <c r="G3586" s="121">
        <v>35</v>
      </c>
      <c r="H3586" s="134">
        <f>IF(SUMIFS('[1]2025年已发货'!$E:$E,'[1]2025年已发货'!$F:$F,C3586,'[1]2025年已发货'!$C:$C,F3586,'[1]2025年已发货'!$G:$G,I3586,'[1]2025年已发货'!$H:$H,J3586)=0,"未发货",SUMIFS('[1]2025年已发货'!$E:$E,'[1]2025年已发货'!$F:$F,C3586,'[1]2025年已发货'!$C:$C,F3586,'[1]2025年已发货'!$G:$G,I3586,'[1]2025年已发货'!$H:$H,J3586))</f>
        <v>35</v>
      </c>
      <c r="I3586" s="120" t="str">
        <f>VLOOKUP(B3586,辅助信息!E:I,3,FALSE)</f>
        <v>（商投建工达州中医药科技园-4工区-9号楼）达州市通川区达州中医药职业学院犀牛大道北段</v>
      </c>
      <c r="J3586" s="120" t="str">
        <f>VLOOKUP(B3586,辅助信息!E:I,4,FALSE)</f>
        <v>张扬</v>
      </c>
      <c r="K3586" s="120">
        <f>VLOOKUP(J3586,辅助信息!H:I,2,FALSE)</f>
        <v>18381904567</v>
      </c>
      <c r="L3586" s="122" t="str">
        <f>VLOOKUP(B3586,辅助信息!E:J,6,FALSE)</f>
        <v>控制炉批号！多了现场不收！,优先安排达钢,提前联系到场规格及数量</v>
      </c>
      <c r="M3586" s="91">
        <v>45919</v>
      </c>
      <c r="O3586" s="62">
        <f ca="1" t="shared" si="194"/>
        <v>0</v>
      </c>
      <c r="P3586" s="62">
        <f ca="1" t="shared" si="195"/>
        <v>41</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0" t="s">
        <v>167</v>
      </c>
      <c r="C3587" s="70">
        <v>45922</v>
      </c>
      <c r="D3587" s="120" t="str">
        <f>VLOOKUP(B3587,辅助信息!E:K,7,FALSE)</f>
        <v>JWDDCD2025102100473</v>
      </c>
      <c r="E3587" s="120" t="str">
        <f>VLOOKUP(F3587,辅助信息!A:B,2,FALSE)</f>
        <v>螺纹钢</v>
      </c>
      <c r="F3587" s="120" t="s">
        <v>27</v>
      </c>
      <c r="G3587" s="121">
        <v>30</v>
      </c>
      <c r="H3587" s="134">
        <f>IF(SUMIFS('[1]2025年已发货'!$E:$E,'[1]2025年已发货'!$F:$F,C3587,'[1]2025年已发货'!$C:$C,F3587,'[1]2025年已发货'!$G:$G,I3587,'[1]2025年已发货'!$H:$H,J3587)=0,"未发货",SUMIFS('[1]2025年已发货'!$E:$E,'[1]2025年已发货'!$F:$F,C3587,'[1]2025年已发货'!$C:$C,F3587,'[1]2025年已发货'!$G:$G,I3587,'[1]2025年已发货'!$H:$H,J3587))</f>
        <v>30</v>
      </c>
      <c r="I3587" s="120" t="str">
        <f>VLOOKUP(B3587,辅助信息!E:I,3,FALSE)</f>
        <v>(五冶建设扩建艺体中学二期工程)四川省成都市双流区光荣路成都艺体中学南200米</v>
      </c>
      <c r="J3587" s="120" t="str">
        <f>VLOOKUP(B3587,辅助信息!E:I,4,FALSE)</f>
        <v>谢序强</v>
      </c>
      <c r="K3587" s="120">
        <f>VLOOKUP(J3587,辅助信息!H:I,2,FALSE)</f>
        <v>13458588232</v>
      </c>
      <c r="L3587" s="122"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1">
        <v>45921</v>
      </c>
      <c r="O3587" s="62">
        <f ca="1" t="shared" si="194"/>
        <v>0</v>
      </c>
      <c r="P3587" s="62">
        <f ca="1" t="shared" si="195"/>
        <v>39</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0" t="s">
        <v>167</v>
      </c>
      <c r="C3588" s="70">
        <v>45922</v>
      </c>
      <c r="D3588" s="120" t="str">
        <f>VLOOKUP(B3588,辅助信息!E:K,7,FALSE)</f>
        <v>JWDDCD2025102100473</v>
      </c>
      <c r="E3588" s="120" t="str">
        <f>VLOOKUP(F3588,辅助信息!A:B,2,FALSE)</f>
        <v>螺纹钢</v>
      </c>
      <c r="F3588" s="120" t="s">
        <v>21</v>
      </c>
      <c r="G3588" s="121">
        <v>6</v>
      </c>
      <c r="H3588" s="134">
        <f>IF(SUMIFS('[1]2025年已发货'!$E:$E,'[1]2025年已发货'!$F:$F,C3588,'[1]2025年已发货'!$C:$C,F3588,'[1]2025年已发货'!$G:$G,I3588,'[1]2025年已发货'!$H:$H,J3588)=0,"未发货",SUMIFS('[1]2025年已发货'!$E:$E,'[1]2025年已发货'!$F:$F,C3588,'[1]2025年已发货'!$C:$C,F3588,'[1]2025年已发货'!$G:$G,I3588,'[1]2025年已发货'!$H:$H,J3588))</f>
        <v>6</v>
      </c>
      <c r="I3588" s="120" t="str">
        <f>VLOOKUP(B3588,辅助信息!E:I,3,FALSE)</f>
        <v>(五冶建设扩建艺体中学二期工程)四川省成都市双流区光荣路成都艺体中学南200米</v>
      </c>
      <c r="J3588" s="120" t="str">
        <f>VLOOKUP(B3588,辅助信息!E:I,4,FALSE)</f>
        <v>谢序强</v>
      </c>
      <c r="K3588" s="120">
        <f>VLOOKUP(J3588,辅助信息!H:I,2,FALSE)</f>
        <v>13458588232</v>
      </c>
      <c r="L3588" s="122"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1">
        <v>45921</v>
      </c>
      <c r="O3588" s="62">
        <f ca="1" t="shared" si="194"/>
        <v>0</v>
      </c>
      <c r="P3588" s="62">
        <f ca="1" t="shared" si="195"/>
        <v>39</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7" t="s">
        <v>178</v>
      </c>
      <c r="B3589" s="120" t="s">
        <v>192</v>
      </c>
      <c r="C3589" s="70">
        <v>45921</v>
      </c>
      <c r="D3589" s="120" t="str">
        <f>VLOOKUP(B3589,辅助信息!E:K,7,FALSE)</f>
        <v>JWDDCD2025102100475</v>
      </c>
      <c r="E3589" s="120" t="str">
        <f>VLOOKUP(F3589,辅助信息!A:B,2,FALSE)</f>
        <v>螺纹钢</v>
      </c>
      <c r="F3589" s="120" t="s">
        <v>30</v>
      </c>
      <c r="G3589" s="121">
        <v>25</v>
      </c>
      <c r="H3589" s="134">
        <f>IF(SUMIFS('[1]2025年已发货'!$E:$E,'[1]2025年已发货'!$F:$F,C3589,'[1]2025年已发货'!$C:$C,F3589,'[1]2025年已发货'!$G:$G,I3589,'[1]2025年已发货'!$H:$H,J3589)=0,"未发货",SUMIFS('[1]2025年已发货'!$E:$E,'[1]2025年已发货'!$F:$F,C3589,'[1]2025年已发货'!$C:$C,F3589,'[1]2025年已发货'!$G:$G,I3589,'[1]2025年已发货'!$H:$H,J3589))</f>
        <v>25</v>
      </c>
      <c r="I3589" s="120" t="str">
        <f>VLOOKUP(B3589,辅助信息!E:I,3,FALSE)</f>
        <v>(五冶建设成都国际铁路港多式联项目)四川省成都市青白江区桂平大道成都中远海运陆港多式联运有限公司</v>
      </c>
      <c r="J3589" s="120" t="str">
        <f>VLOOKUP(B3589,辅助信息!E:I,4,FALSE)</f>
        <v>黄勇杰</v>
      </c>
      <c r="K3589" s="120">
        <f>VLOOKUP(J3589,辅助信息!H:I,2,FALSE)</f>
        <v>13880580196</v>
      </c>
      <c r="L3589" s="122"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1">
        <v>45921</v>
      </c>
      <c r="O3589" s="62">
        <f ca="1" t="shared" si="194"/>
        <v>0</v>
      </c>
      <c r="P3589" s="62">
        <f ca="1" t="shared" si="195"/>
        <v>39</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0" t="s">
        <v>81</v>
      </c>
      <c r="C3590" s="70">
        <v>45922</v>
      </c>
      <c r="D3590" s="120" t="str">
        <f>VLOOKUP(B3590,辅助信息!E:K,7,FALSE)</f>
        <v>JWDDCD2025060900080</v>
      </c>
      <c r="E3590" s="120" t="str">
        <f>VLOOKUP(F3590,辅助信息!A:B,2,FALSE)</f>
        <v>盘螺</v>
      </c>
      <c r="F3590" s="120" t="s">
        <v>49</v>
      </c>
      <c r="G3590" s="121">
        <v>15</v>
      </c>
      <c r="H3590" s="134">
        <f>IF(SUMIFS('[1]2025年已发货'!$E:$E,'[1]2025年已发货'!$F:$F,C3590,'[1]2025年已发货'!$C:$C,F3590,'[1]2025年已发货'!$G:$G,I3590,'[1]2025年已发货'!$H:$H,J3590)=0,"未发货",SUMIFS('[1]2025年已发货'!$E:$E,'[1]2025年已发货'!$F:$F,C3590,'[1]2025年已发货'!$C:$C,F3590,'[1]2025年已发货'!$G:$G,I3590,'[1]2025年已发货'!$H:$H,J3590))</f>
        <v>15</v>
      </c>
      <c r="I3590" s="120" t="str">
        <f>VLOOKUP(B3590,辅助信息!E:I,3,FALSE)</f>
        <v>（华西简阳西城嘉苑）四川省成都市简阳市简城街道高屋村</v>
      </c>
      <c r="J3590" s="120" t="str">
        <f>VLOOKUP(B3590,辅助信息!E:I,4,FALSE)</f>
        <v>张瀚镭</v>
      </c>
      <c r="K3590" s="120">
        <f>VLOOKUP(J3590,辅助信息!H:I,2,FALSE)</f>
        <v>15884666220</v>
      </c>
      <c r="L3590" s="122" t="str">
        <f>VLOOKUP(B3590,辅助信息!E:J,6,FALSE)</f>
        <v>现场禁止使用氢能源挂车！优先威钢发货,我方卸车,新老国标钢厂不加价可直发，因陕钢多次出现磅差，项目拒绝使用</v>
      </c>
      <c r="M3590" s="91">
        <v>45921</v>
      </c>
      <c r="O3590" s="62">
        <f ca="1" t="shared" si="194"/>
        <v>0</v>
      </c>
      <c r="P3590" s="62">
        <f ca="1" t="shared" si="195"/>
        <v>39</v>
      </c>
      <c r="Q3590" s="29" t="str">
        <f>VLOOKUP(B3590,辅助信息!E:M,9,FALSE)</f>
        <v>ZTWM-CDGS-XS-2024-0030-华西集采-简州大道</v>
      </c>
      <c r="R3590" s="29" t="str">
        <f>_xlfn._xlws.FILTER(辅助信息!D:D,辅助信息!E:E=B3590)</f>
        <v>华西简阳西城嘉苑</v>
      </c>
    </row>
    <row r="3591" hidden="1" spans="2:18">
      <c r="B3591" s="120" t="s">
        <v>81</v>
      </c>
      <c r="C3591" s="70">
        <v>45922</v>
      </c>
      <c r="D3591" s="120" t="str">
        <f>VLOOKUP(B3591,辅助信息!E:K,7,FALSE)</f>
        <v>JWDDCD2025060900080</v>
      </c>
      <c r="E3591" s="120" t="str">
        <f>VLOOKUP(F3591,辅助信息!A:B,2,FALSE)</f>
        <v>盘螺</v>
      </c>
      <c r="F3591" s="120" t="s">
        <v>40</v>
      </c>
      <c r="G3591" s="121">
        <v>100</v>
      </c>
      <c r="H3591" s="134">
        <f>IF(SUMIFS('[1]2025年已发货'!$E:$E,'[1]2025年已发货'!$F:$F,C3591,'[1]2025年已发货'!$C:$C,F3591,'[1]2025年已发货'!$G:$G,I3591,'[1]2025年已发货'!$H:$H,J3591)=0,"未发货",SUMIFS('[1]2025年已发货'!$E:$E,'[1]2025年已发货'!$F:$F,C3591,'[1]2025年已发货'!$C:$C,F3591,'[1]2025年已发货'!$G:$G,I3591,'[1]2025年已发货'!$H:$H,J3591))</f>
        <v>35</v>
      </c>
      <c r="I3591" s="120" t="str">
        <f>VLOOKUP(B3591,辅助信息!E:I,3,FALSE)</f>
        <v>（华西简阳西城嘉苑）四川省成都市简阳市简城街道高屋村</v>
      </c>
      <c r="J3591" s="120" t="str">
        <f>VLOOKUP(B3591,辅助信息!E:I,4,FALSE)</f>
        <v>张瀚镭</v>
      </c>
      <c r="K3591" s="120">
        <f>VLOOKUP(J3591,辅助信息!H:I,2,FALSE)</f>
        <v>15884666220</v>
      </c>
      <c r="L3591" s="122" t="str">
        <f>VLOOKUP(B3591,辅助信息!E:J,6,FALSE)</f>
        <v>现场禁止使用氢能源挂车！优先威钢发货,我方卸车,新老国标钢厂不加价可直发，因陕钢多次出现磅差，项目拒绝使用</v>
      </c>
      <c r="M3591" s="91">
        <v>45921</v>
      </c>
      <c r="O3591" s="62">
        <f ca="1" t="shared" si="194"/>
        <v>0</v>
      </c>
      <c r="P3591" s="62">
        <f ca="1" t="shared" si="195"/>
        <v>39</v>
      </c>
      <c r="Q3591" s="29" t="str">
        <f>VLOOKUP(B3591,辅助信息!E:M,9,FALSE)</f>
        <v>ZTWM-CDGS-XS-2024-0030-华西集采-简州大道</v>
      </c>
      <c r="R3591" s="29" t="str">
        <f>_xlfn._xlws.FILTER(辅助信息!D:D,辅助信息!E:E=B3591)</f>
        <v>华西简阳西城嘉苑</v>
      </c>
    </row>
    <row r="3592" hidden="1" spans="2:18">
      <c r="B3592" s="120" t="s">
        <v>81</v>
      </c>
      <c r="C3592" s="70">
        <v>45922</v>
      </c>
      <c r="D3592" s="120" t="str">
        <f>VLOOKUP(B3592,辅助信息!E:K,7,FALSE)</f>
        <v>JWDDCD2025060900080</v>
      </c>
      <c r="E3592" s="120" t="str">
        <f>VLOOKUP(F3592,辅助信息!A:B,2,FALSE)</f>
        <v>盘螺</v>
      </c>
      <c r="F3592" s="120" t="s">
        <v>41</v>
      </c>
      <c r="G3592" s="121">
        <v>30</v>
      </c>
      <c r="H3592" s="134"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0" t="str">
        <f>VLOOKUP(B3592,辅助信息!E:I,3,FALSE)</f>
        <v>（华西简阳西城嘉苑）四川省成都市简阳市简城街道高屋村</v>
      </c>
      <c r="J3592" s="120" t="str">
        <f>VLOOKUP(B3592,辅助信息!E:I,4,FALSE)</f>
        <v>张瀚镭</v>
      </c>
      <c r="K3592" s="120">
        <f>VLOOKUP(J3592,辅助信息!H:I,2,FALSE)</f>
        <v>15884666220</v>
      </c>
      <c r="L3592" s="122" t="str">
        <f>VLOOKUP(B3592,辅助信息!E:J,6,FALSE)</f>
        <v>现场禁止使用氢能源挂车！优先威钢发货,我方卸车,新老国标钢厂不加价可直发，因陕钢多次出现磅差，项目拒绝使用</v>
      </c>
      <c r="M3592" s="91">
        <v>45921</v>
      </c>
      <c r="O3592" s="62">
        <f ca="1" t="shared" si="194"/>
        <v>0</v>
      </c>
      <c r="P3592" s="62">
        <f ca="1" t="shared" si="195"/>
        <v>39</v>
      </c>
      <c r="Q3592" s="29" t="str">
        <f>VLOOKUP(B3592,辅助信息!E:M,9,FALSE)</f>
        <v>ZTWM-CDGS-XS-2024-0030-华西集采-简州大道</v>
      </c>
      <c r="R3592" s="29" t="str">
        <f>_xlfn._xlws.FILTER(辅助信息!D:D,辅助信息!E:E=B3592)</f>
        <v>华西简阳西城嘉苑</v>
      </c>
    </row>
    <row r="3593" hidden="1" spans="2:18">
      <c r="B3593" s="120" t="s">
        <v>81</v>
      </c>
      <c r="C3593" s="70">
        <v>45922</v>
      </c>
      <c r="D3593" s="120" t="str">
        <f>VLOOKUP(B3593,辅助信息!E:K,7,FALSE)</f>
        <v>JWDDCD2025060900080</v>
      </c>
      <c r="E3593" s="120" t="str">
        <f>VLOOKUP(F3593,辅助信息!A:B,2,FALSE)</f>
        <v>盘螺</v>
      </c>
      <c r="F3593" s="120" t="s">
        <v>26</v>
      </c>
      <c r="G3593" s="121">
        <v>20</v>
      </c>
      <c r="H3593" s="134">
        <f>IF(SUMIFS('[1]2025年已发货'!$E:$E,'[1]2025年已发货'!$F:$F,C3593,'[1]2025年已发货'!$C:$C,F3593,'[1]2025年已发货'!$G:$G,I3593,'[1]2025年已发货'!$H:$H,J3593)=0,"未发货",SUMIFS('[1]2025年已发货'!$E:$E,'[1]2025年已发货'!$F:$F,C3593,'[1]2025年已发货'!$C:$C,F3593,'[1]2025年已发货'!$G:$G,I3593,'[1]2025年已发货'!$H:$H,J3593))</f>
        <v>20</v>
      </c>
      <c r="I3593" s="120" t="str">
        <f>VLOOKUP(B3593,辅助信息!E:I,3,FALSE)</f>
        <v>（华西简阳西城嘉苑）四川省成都市简阳市简城街道高屋村</v>
      </c>
      <c r="J3593" s="120" t="str">
        <f>VLOOKUP(B3593,辅助信息!E:I,4,FALSE)</f>
        <v>张瀚镭</v>
      </c>
      <c r="K3593" s="120">
        <f>VLOOKUP(J3593,辅助信息!H:I,2,FALSE)</f>
        <v>15884666220</v>
      </c>
      <c r="L3593" s="122" t="str">
        <f>VLOOKUP(B3593,辅助信息!E:J,6,FALSE)</f>
        <v>现场禁止使用氢能源挂车！优先威钢发货,我方卸车,新老国标钢厂不加价可直发，因陕钢多次出现磅差，项目拒绝使用</v>
      </c>
      <c r="M3593" s="91">
        <v>45921</v>
      </c>
      <c r="O3593" s="62">
        <f ca="1" t="shared" si="194"/>
        <v>0</v>
      </c>
      <c r="P3593" s="62">
        <f ca="1" t="shared" si="195"/>
        <v>39</v>
      </c>
      <c r="Q3593" s="29" t="str">
        <f>VLOOKUP(B3593,辅助信息!E:M,9,FALSE)</f>
        <v>ZTWM-CDGS-XS-2024-0030-华西集采-简州大道</v>
      </c>
      <c r="R3593" s="29" t="str">
        <f>_xlfn._xlws.FILTER(辅助信息!D:D,辅助信息!E:E=B3593)</f>
        <v>华西简阳西城嘉苑</v>
      </c>
    </row>
    <row r="3594" hidden="1" spans="2:18">
      <c r="B3594" s="150" t="s">
        <v>194</v>
      </c>
      <c r="C3594" s="95">
        <v>45920</v>
      </c>
      <c r="D3594" s="150" t="str">
        <f>VLOOKUP(B3594,辅助信息!E:K,7,FALSE)</f>
        <v>JWDD2025071500089</v>
      </c>
      <c r="E3594" s="150" t="str">
        <f>VLOOKUP(F3594,辅助信息!A:B,2,FALSE)</f>
        <v>盘螺</v>
      </c>
      <c r="F3594" s="150" t="s">
        <v>41</v>
      </c>
      <c r="G3594" s="151">
        <v>21.3</v>
      </c>
      <c r="H3594" s="152">
        <f>IF(SUMIFS('[1]2025年已发货'!$E:$E,'[1]2025年已发货'!$F:$F,C3594,'[1]2025年已发货'!$C:$C,F3594,'[1]2025年已发货'!$G:$G,I3594,'[1]2025年已发货'!$H:$H,J3594)=0,"未发货",SUMIFS('[1]2025年已发货'!$E:$E,'[1]2025年已发货'!$F:$F,C3594,'[1]2025年已发货'!$C:$C,F3594,'[1]2025年已发货'!$G:$G,I3594,'[1]2025年已发货'!$H:$H,J3594))</f>
        <v>17.5</v>
      </c>
      <c r="I3594" s="150" t="str">
        <f>VLOOKUP(B3594,辅助信息!E:I,3,FALSE)</f>
        <v>(宜宾兴港三江新区长江工业园保障性租赁住房建设项目-土建)四川省宜宾市翠屏区永善路南段宜宾市三江新区长江工业园区</v>
      </c>
      <c r="J3594" s="150" t="str">
        <f>VLOOKUP(B3594,辅助信息!E:I,4,FALSE)</f>
        <v>赵元虎</v>
      </c>
      <c r="K3594" s="150">
        <f>VLOOKUP(J3594,辅助信息!H:I,2,FALSE)</f>
        <v>13684167136</v>
      </c>
      <c r="L3594" s="127" t="str">
        <f>VLOOKUP(B3594,辅助信息!E:J,6,FALSE)</f>
        <v>现场要求调度统一联系指定收货人，不单独发司机位置。锈货不收，装货前联系收货人核实到场规格,没提前告知进场规格现场不给予接收</v>
      </c>
      <c r="M3594" s="91">
        <v>45920</v>
      </c>
      <c r="O3594" s="62">
        <f ca="1" t="shared" si="194"/>
        <v>0</v>
      </c>
      <c r="P3594" s="62">
        <f ca="1" t="shared" si="195"/>
        <v>40</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0" t="s">
        <v>194</v>
      </c>
      <c r="C3595" s="95">
        <v>45920</v>
      </c>
      <c r="D3595" s="150" t="str">
        <f>VLOOKUP(B3595,辅助信息!E:K,7,FALSE)</f>
        <v>JWDD2025071500089</v>
      </c>
      <c r="E3595" s="150" t="str">
        <f>VLOOKUP(F3595,辅助信息!A:B,2,FALSE)</f>
        <v>盘螺</v>
      </c>
      <c r="F3595" s="150" t="s">
        <v>40</v>
      </c>
      <c r="G3595" s="151">
        <v>20</v>
      </c>
      <c r="H3595" s="152">
        <f>IF(SUMIFS('[1]2025年已发货'!$E:$E,'[1]2025年已发货'!$F:$F,C3595,'[1]2025年已发货'!$C:$C,F3595,'[1]2025年已发货'!$G:$G,I3595,'[1]2025年已发货'!$H:$H,J3595)=0,"未发货",SUMIFS('[1]2025年已发货'!$E:$E,'[1]2025年已发货'!$F:$F,C3595,'[1]2025年已发货'!$C:$C,F3595,'[1]2025年已发货'!$G:$G,I3595,'[1]2025年已发货'!$H:$H,J3595))</f>
        <v>17.5</v>
      </c>
      <c r="I3595" s="150" t="str">
        <f>VLOOKUP(B3595,辅助信息!E:I,3,FALSE)</f>
        <v>(宜宾兴港三江新区长江工业园保障性租赁住房建设项目-土建)四川省宜宾市翠屏区永善路南段宜宾市三江新区长江工业园区</v>
      </c>
      <c r="J3595" s="150" t="str">
        <f>VLOOKUP(B3595,辅助信息!E:I,4,FALSE)</f>
        <v>赵元虎</v>
      </c>
      <c r="K3595" s="150">
        <f>VLOOKUP(J3595,辅助信息!H:I,2,FALSE)</f>
        <v>13684167136</v>
      </c>
      <c r="L3595" s="127" t="str">
        <f>VLOOKUP(B3595,辅助信息!E:J,6,FALSE)</f>
        <v>现场要求调度统一联系指定收货人，不单独发司机位置。锈货不收，装货前联系收货人核实到场规格,没提前告知进场规格现场不给予接收</v>
      </c>
      <c r="M3595" s="91">
        <v>45920</v>
      </c>
      <c r="O3595" s="62">
        <f ca="1" t="shared" si="194"/>
        <v>0</v>
      </c>
      <c r="P3595" s="62">
        <f ca="1" t="shared" si="195"/>
        <v>40</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0">
        <v>45922</v>
      </c>
      <c r="D3596" s="40" t="str">
        <f>VLOOKUP(B3596,辅助信息!E:K,7,FALSE)</f>
        <v>JWDDCD2025051800044</v>
      </c>
      <c r="E3596" s="40" t="str">
        <f>VLOOKUP(F3596,辅助信息!A:B,2,FALSE)</f>
        <v>螺纹钢</v>
      </c>
      <c r="F3596" s="40" t="s">
        <v>28</v>
      </c>
      <c r="G3596" s="36">
        <v>70</v>
      </c>
      <c r="H3596" s="134"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09"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1">
        <v>45922</v>
      </c>
      <c r="O3596" s="62">
        <f ca="1" t="shared" si="194"/>
        <v>0</v>
      </c>
      <c r="P3596" s="62">
        <f ca="1" t="shared" si="195"/>
        <v>38</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0">
        <v>45922</v>
      </c>
      <c r="D3597" s="40" t="str">
        <f>VLOOKUP(B3597,辅助信息!E:K,7,FALSE)</f>
        <v>JWDDCD2024121000136</v>
      </c>
      <c r="E3597" s="40" t="str">
        <f>VLOOKUP(F3597,辅助信息!A:B,2,FALSE)</f>
        <v>盘螺</v>
      </c>
      <c r="F3597" s="40" t="s">
        <v>49</v>
      </c>
      <c r="G3597" s="36">
        <v>25</v>
      </c>
      <c r="H3597" s="134">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09" t="str">
        <f>VLOOKUP(B3597,辅助信息!E:J,6,FALSE)</f>
        <v>提前联系到场规格及数量</v>
      </c>
      <c r="M3597" s="91">
        <v>45922</v>
      </c>
      <c r="O3597" s="62">
        <f ca="1" t="shared" si="194"/>
        <v>0</v>
      </c>
      <c r="P3597" s="62">
        <f ca="1" t="shared" si="195"/>
        <v>38</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0">
        <v>45922</v>
      </c>
      <c r="D3598" s="40" t="str">
        <f>VLOOKUP(B3598,辅助信息!E:K,7,FALSE)</f>
        <v>JWDDCD2024121000136</v>
      </c>
      <c r="E3598" s="40" t="str">
        <f>VLOOKUP(F3598,辅助信息!A:B,2,FALSE)</f>
        <v>螺纹钢</v>
      </c>
      <c r="F3598" s="40" t="s">
        <v>18</v>
      </c>
      <c r="G3598" s="36">
        <v>10</v>
      </c>
      <c r="H3598" s="134">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09" t="str">
        <f>VLOOKUP(B3598,辅助信息!E:J,6,FALSE)</f>
        <v>提前联系到场规格及数量</v>
      </c>
      <c r="M3598" s="91">
        <v>45922</v>
      </c>
      <c r="O3598" s="62">
        <f ca="1" t="shared" si="194"/>
        <v>0</v>
      </c>
      <c r="P3598" s="62">
        <f ca="1" t="shared" si="195"/>
        <v>38</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0">
        <v>45921</v>
      </c>
      <c r="D3599" s="40" t="str">
        <f>VLOOKUP(B3599,辅助信息!E:K,7,FALSE)</f>
        <v>JWDDCD2025062200016</v>
      </c>
      <c r="E3599" s="40" t="str">
        <f>VLOOKUP(F3599,辅助信息!A:B,2,FALSE)</f>
        <v>盘螺</v>
      </c>
      <c r="F3599" s="40" t="s">
        <v>40</v>
      </c>
      <c r="G3599" s="36">
        <v>5</v>
      </c>
      <c r="H3599" s="134">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09" t="str">
        <f>VLOOKUP(B3599,辅助信息!E:J,6,FALSE)</f>
        <v>锈货不收！！下雨天钢筋没盖篷布不收！！，装货前联系收货人核实到场规格,没提前告知进场规格现场不给予接收</v>
      </c>
      <c r="M3599" s="91">
        <v>45922</v>
      </c>
      <c r="O3599" s="62">
        <f ca="1" t="shared" si="194"/>
        <v>0</v>
      </c>
      <c r="P3599" s="62">
        <f ca="1" t="shared" si="195"/>
        <v>38</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0">
        <v>45921</v>
      </c>
      <c r="D3600" s="40" t="str">
        <f>VLOOKUP(B3600,辅助信息!E:K,7,FALSE)</f>
        <v>JWDDCD2025062200016</v>
      </c>
      <c r="E3600" s="40" t="str">
        <f>VLOOKUP(F3600,辅助信息!A:B,2,FALSE)</f>
        <v>螺纹钢</v>
      </c>
      <c r="F3600" s="40" t="s">
        <v>30</v>
      </c>
      <c r="G3600" s="36">
        <v>9</v>
      </c>
      <c r="H3600" s="134">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09" t="str">
        <f>VLOOKUP(B3600,辅助信息!E:J,6,FALSE)</f>
        <v>锈货不收！！下雨天钢筋没盖篷布不收！！，装货前联系收货人核实到场规格,没提前告知进场规格现场不给予接收</v>
      </c>
      <c r="M3600" s="91">
        <v>45922</v>
      </c>
      <c r="O3600" s="62">
        <f ca="1" t="shared" si="194"/>
        <v>0</v>
      </c>
      <c r="P3600" s="62">
        <f ca="1" t="shared" si="195"/>
        <v>38</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0">
        <v>45921</v>
      </c>
      <c r="D3601" s="40" t="str">
        <f>VLOOKUP(B3601,辅助信息!E:K,7,FALSE)</f>
        <v>JWDDCD2025062200016</v>
      </c>
      <c r="E3601" s="40" t="str">
        <f>VLOOKUP(F3601,辅助信息!A:B,2,FALSE)</f>
        <v>螺纹钢</v>
      </c>
      <c r="F3601" s="40" t="s">
        <v>90</v>
      </c>
      <c r="G3601" s="36">
        <v>12</v>
      </c>
      <c r="H3601" s="134">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09" t="str">
        <f>VLOOKUP(B3601,辅助信息!E:J,6,FALSE)</f>
        <v>锈货不收！！下雨天钢筋没盖篷布不收！！，装货前联系收货人核实到场规格,没提前告知进场规格现场不给予接收</v>
      </c>
      <c r="M3601" s="91">
        <v>45922</v>
      </c>
      <c r="O3601" s="62">
        <f ca="1" t="shared" si="194"/>
        <v>0</v>
      </c>
      <c r="P3601" s="62">
        <f ca="1" t="shared" si="195"/>
        <v>38</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0">
        <v>45921</v>
      </c>
      <c r="D3602" s="40" t="str">
        <f>VLOOKUP(B3602,辅助信息!E:K,7,FALSE)</f>
        <v>JWDDCD2025062200016</v>
      </c>
      <c r="E3602" s="40" t="str">
        <f>VLOOKUP(F3602,辅助信息!A:B,2,FALSE)</f>
        <v>螺纹钢</v>
      </c>
      <c r="F3602" s="40" t="s">
        <v>133</v>
      </c>
      <c r="G3602" s="36">
        <v>9</v>
      </c>
      <c r="H3602" s="134">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09" t="str">
        <f>VLOOKUP(B3602,辅助信息!E:J,6,FALSE)</f>
        <v>锈货不收！！下雨天钢筋没盖篷布不收！！，装货前联系收货人核实到场规格,没提前告知进场规格现场不给予接收</v>
      </c>
      <c r="M3602" s="91">
        <v>45922</v>
      </c>
      <c r="O3602" s="62">
        <f ca="1" t="shared" si="194"/>
        <v>0</v>
      </c>
      <c r="P3602" s="62">
        <f ca="1" t="shared" si="195"/>
        <v>38</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7" t="s">
        <v>220</v>
      </c>
      <c r="B3603" s="97" t="s">
        <v>188</v>
      </c>
      <c r="C3603" s="70">
        <v>45922</v>
      </c>
      <c r="D3603" s="40" t="str">
        <f>VLOOKUP(B3603,辅助信息!E:K,7,FALSE)</f>
        <v>JWDDCD2025062200016</v>
      </c>
      <c r="E3603" s="40" t="str">
        <f>VLOOKUP(F3603,辅助信息!A:B,2,FALSE)</f>
        <v>盘螺</v>
      </c>
      <c r="F3603" s="40" t="s">
        <v>40</v>
      </c>
      <c r="G3603" s="36">
        <v>6</v>
      </c>
      <c r="H3603" s="134">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09" t="str">
        <f>VLOOKUP(B3603,辅助信息!E:J,6,FALSE)</f>
        <v>锈货不收！！下雨天钢筋没盖篷布不收！！，装货前联系收货人核实到场规格,没提前告知进场规格现场不给予接收</v>
      </c>
      <c r="M3603" s="91">
        <v>45922</v>
      </c>
      <c r="O3603" s="62">
        <f ca="1" t="shared" si="194"/>
        <v>0</v>
      </c>
      <c r="P3603" s="62">
        <f ca="1" t="shared" si="195"/>
        <v>38</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7" t="s">
        <v>188</v>
      </c>
      <c r="C3604" s="70">
        <v>45922</v>
      </c>
      <c r="D3604" s="40" t="str">
        <f>VLOOKUP(B3604,辅助信息!E:K,7,FALSE)</f>
        <v>JWDDCD2025062200016</v>
      </c>
      <c r="E3604" s="40" t="str">
        <f>VLOOKUP(F3604,辅助信息!A:B,2,FALSE)</f>
        <v>盘螺</v>
      </c>
      <c r="F3604" s="40" t="s">
        <v>41</v>
      </c>
      <c r="G3604" s="36">
        <v>8</v>
      </c>
      <c r="H3604" s="134">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09" t="str">
        <f>VLOOKUP(B3604,辅助信息!E:J,6,FALSE)</f>
        <v>锈货不收！！下雨天钢筋没盖篷布不收！！，装货前联系收货人核实到场规格,没提前告知进场规格现场不给予接收</v>
      </c>
      <c r="M3604" s="91">
        <v>45922</v>
      </c>
      <c r="O3604" s="62">
        <f ca="1" t="shared" si="194"/>
        <v>0</v>
      </c>
      <c r="P3604" s="62">
        <f ca="1" t="shared" si="195"/>
        <v>38</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7" t="s">
        <v>188</v>
      </c>
      <c r="C3605" s="70">
        <v>45922</v>
      </c>
      <c r="D3605" s="40" t="str">
        <f>VLOOKUP(B3605,辅助信息!E:K,7,FALSE)</f>
        <v>JWDDCD2025062200016</v>
      </c>
      <c r="E3605" s="40" t="str">
        <f>VLOOKUP(F3605,辅助信息!A:B,2,FALSE)</f>
        <v>螺纹钢</v>
      </c>
      <c r="F3605" s="40" t="s">
        <v>18</v>
      </c>
      <c r="G3605" s="36">
        <v>23</v>
      </c>
      <c r="H3605" s="134">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09" t="str">
        <f>VLOOKUP(B3605,辅助信息!E:J,6,FALSE)</f>
        <v>锈货不收！！下雨天钢筋没盖篷布不收！！，装货前联系收货人核实到场规格,没提前告知进场规格现场不给予接收</v>
      </c>
      <c r="M3605" s="91">
        <v>45922</v>
      </c>
      <c r="O3605" s="62">
        <f ca="1" t="shared" si="194"/>
        <v>0</v>
      </c>
      <c r="P3605" s="62">
        <f ca="1" t="shared" si="195"/>
        <v>38</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7" t="s">
        <v>188</v>
      </c>
      <c r="C3606" s="70">
        <v>45922</v>
      </c>
      <c r="D3606" s="40" t="str">
        <f>VLOOKUP(B3606,辅助信息!E:K,7,FALSE)</f>
        <v>JWDDCD2025062200016</v>
      </c>
      <c r="E3606" s="40" t="str">
        <f>VLOOKUP(F3606,辅助信息!A:B,2,FALSE)</f>
        <v>螺纹钢</v>
      </c>
      <c r="F3606" s="40" t="s">
        <v>30</v>
      </c>
      <c r="G3606" s="36">
        <v>2</v>
      </c>
      <c r="H3606" s="134">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09" t="str">
        <f>VLOOKUP(B3606,辅助信息!E:J,6,FALSE)</f>
        <v>锈货不收！！下雨天钢筋没盖篷布不收！！，装货前联系收货人核实到场规格,没提前告知进场规格现场不给予接收</v>
      </c>
      <c r="M3606" s="91">
        <v>45922</v>
      </c>
      <c r="O3606" s="62">
        <f ca="1" t="shared" si="194"/>
        <v>0</v>
      </c>
      <c r="P3606" s="62">
        <f ca="1" t="shared" si="195"/>
        <v>38</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0">
        <v>45922</v>
      </c>
      <c r="D3607" s="40" t="str">
        <f>VLOOKUP(B3607,辅助信息!E:K,7,FALSE)</f>
        <v>JWDDCD2025072900123</v>
      </c>
      <c r="E3607" s="40" t="str">
        <f>VLOOKUP(F3607,辅助信息!A:B,2,FALSE)</f>
        <v>高线</v>
      </c>
      <c r="F3607" s="40" t="s">
        <v>57</v>
      </c>
      <c r="G3607" s="36">
        <v>5</v>
      </c>
      <c r="H3607" s="134">
        <f>IF(SUMIFS('[1]2025年已发货'!$E:$E,'[1]2025年已发货'!$F:$F,C3607,'[1]2025年已发货'!$C:$C,F3607,'[1]2025年已发货'!$G:$G,I3607,'[1]2025年已发货'!$H:$H,J3607)=0,"未发货",SUMIFS('[1]2025年已发货'!$E:$E,'[1]2025年已发货'!$F:$F,C3607,'[1]2025年已发货'!$C:$C,F3607,'[1]2025年已发货'!$G:$G,I3607,'[1]2025年已发货'!$H:$H,J3607))</f>
        <v>5</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09" t="str">
        <f>VLOOKUP(B3607,辅助信息!E:J,6,FALSE)</f>
        <v>联系实际收货人（彭江涛13990276572）现场要求炉批号控制2个以下，超2个不给予签收。提前联系到场规格及数量</v>
      </c>
      <c r="M3607" s="91">
        <v>45922</v>
      </c>
      <c r="O3607" s="62">
        <f ca="1" t="shared" si="194"/>
        <v>0</v>
      </c>
      <c r="P3607" s="62">
        <f ca="1" t="shared" si="195"/>
        <v>38</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0">
        <v>45922</v>
      </c>
      <c r="D3608" s="40" t="str">
        <f>VLOOKUP(B3608,辅助信息!E:K,7,FALSE)</f>
        <v>JWDDCD2025072900123</v>
      </c>
      <c r="E3608" s="40" t="str">
        <f>VLOOKUP(F3608,辅助信息!A:B,2,FALSE)</f>
        <v>高线</v>
      </c>
      <c r="F3608" s="40" t="s">
        <v>53</v>
      </c>
      <c r="G3608" s="36">
        <v>10</v>
      </c>
      <c r="H3608" s="134">
        <f>IF(SUMIFS('[1]2025年已发货'!$E:$E,'[1]2025年已发货'!$F:$F,C3608,'[1]2025年已发货'!$C:$C,F3608,'[1]2025年已发货'!$G:$G,I3608,'[1]2025年已发货'!$H:$H,J3608)=0,"未发货",SUMIFS('[1]2025年已发货'!$E:$E,'[1]2025年已发货'!$F:$F,C3608,'[1]2025年已发货'!$C:$C,F3608,'[1]2025年已发货'!$G:$G,I3608,'[1]2025年已发货'!$H:$H,J3608))</f>
        <v>10</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09" t="str">
        <f>VLOOKUP(B3608,辅助信息!E:J,6,FALSE)</f>
        <v>联系实际收货人（彭江涛13990276572）现场要求炉批号控制2个以下，超2个不给予签收。提前联系到场规格及数量</v>
      </c>
      <c r="M3608" s="91">
        <v>45922</v>
      </c>
      <c r="O3608" s="62">
        <f ca="1" t="shared" si="194"/>
        <v>0</v>
      </c>
      <c r="P3608" s="62">
        <f ca="1" t="shared" si="195"/>
        <v>38</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0">
        <v>45922</v>
      </c>
      <c r="D3609" s="40" t="str">
        <f>VLOOKUP(B3609,辅助信息!E:K,7,FALSE)</f>
        <v>JWDDCD2025072900123</v>
      </c>
      <c r="E3609" s="40" t="str">
        <f>VLOOKUP(F3609,辅助信息!A:B,2,FALSE)</f>
        <v>螺纹钢</v>
      </c>
      <c r="F3609" s="40" t="s">
        <v>76</v>
      </c>
      <c r="G3609" s="36">
        <v>6</v>
      </c>
      <c r="H3609" s="134">
        <f>IF(SUMIFS('[1]2025年已发货'!$E:$E,'[1]2025年已发货'!$F:$F,C3609,'[1]2025年已发货'!$C:$C,F3609,'[1]2025年已发货'!$G:$G,I3609,'[1]2025年已发货'!$H:$H,J3609)=0,"未发货",SUMIFS('[1]2025年已发货'!$E:$E,'[1]2025年已发货'!$F:$F,C3609,'[1]2025年已发货'!$C:$C,F3609,'[1]2025年已发货'!$G:$G,I3609,'[1]2025年已发货'!$H:$H,J3609))</f>
        <v>6</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09" t="str">
        <f>VLOOKUP(B3609,辅助信息!E:J,6,FALSE)</f>
        <v>联系实际收货人（彭江涛13990276572）现场要求炉批号控制2个以下，超2个不给予签收。提前联系到场规格及数量</v>
      </c>
      <c r="M3609" s="91">
        <v>45922</v>
      </c>
      <c r="O3609" s="62">
        <f ca="1" t="shared" si="194"/>
        <v>0</v>
      </c>
      <c r="P3609" s="62">
        <f ca="1" t="shared" si="195"/>
        <v>38</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0">
        <v>45922</v>
      </c>
      <c r="D3610" s="40" t="str">
        <f>VLOOKUP(B3610,辅助信息!E:K,7,FALSE)</f>
        <v>JWDDCD2025072900123</v>
      </c>
      <c r="E3610" s="40" t="str">
        <f>VLOOKUP(F3610,辅助信息!A:B,2,FALSE)</f>
        <v>螺纹钢</v>
      </c>
      <c r="F3610" s="40" t="s">
        <v>19</v>
      </c>
      <c r="G3610" s="36">
        <v>6</v>
      </c>
      <c r="H3610" s="134">
        <f>IF(SUMIFS('[1]2025年已发货'!$E:$E,'[1]2025年已发货'!$F:$F,C3610,'[1]2025年已发货'!$C:$C,F3610,'[1]2025年已发货'!$G:$G,I3610,'[1]2025年已发货'!$H:$H,J3610)=0,"未发货",SUMIFS('[1]2025年已发货'!$E:$E,'[1]2025年已发货'!$F:$F,C3610,'[1]2025年已发货'!$C:$C,F3610,'[1]2025年已发货'!$G:$G,I3610,'[1]2025年已发货'!$H:$H,J3610))</f>
        <v>6</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09" t="str">
        <f>VLOOKUP(B3610,辅助信息!E:J,6,FALSE)</f>
        <v>联系实际收货人（彭江涛13990276572）现场要求炉批号控制2个以下，超2个不给予签收。提前联系到场规格及数量</v>
      </c>
      <c r="M3610" s="91">
        <v>45922</v>
      </c>
      <c r="O3610" s="62">
        <f ca="1" t="shared" si="194"/>
        <v>0</v>
      </c>
      <c r="P3610" s="62">
        <f ca="1" t="shared" si="195"/>
        <v>38</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0">
        <v>45922</v>
      </c>
      <c r="D3611" s="40" t="str">
        <f>VLOOKUP(B3611,辅助信息!E:K,7,FALSE)</f>
        <v>JWDDCD2025072900123</v>
      </c>
      <c r="E3611" s="40" t="str">
        <f>VLOOKUP(F3611,辅助信息!A:B,2,FALSE)</f>
        <v>螺纹钢</v>
      </c>
      <c r="F3611" s="40" t="s">
        <v>90</v>
      </c>
      <c r="G3611" s="36">
        <v>30</v>
      </c>
      <c r="H3611" s="134">
        <f>IF(SUMIFS('[1]2025年已发货'!$E:$E,'[1]2025年已发货'!$F:$F,C3611,'[1]2025年已发货'!$C:$C,F3611,'[1]2025年已发货'!$G:$G,I3611,'[1]2025年已发货'!$H:$H,J3611)=0,"未发货",SUMIFS('[1]2025年已发货'!$E:$E,'[1]2025年已发货'!$F:$F,C3611,'[1]2025年已发货'!$C:$C,F3611,'[1]2025年已发货'!$G:$G,I3611,'[1]2025年已发货'!$H:$H,J3611))</f>
        <v>10</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09" t="str">
        <f>VLOOKUP(B3611,辅助信息!E:J,6,FALSE)</f>
        <v>联系实际收货人（彭江涛13990276572）现场要求炉批号控制2个以下，超2个不给予签收。提前联系到场规格及数量</v>
      </c>
      <c r="M3611" s="91">
        <v>45922</v>
      </c>
      <c r="O3611" s="62">
        <f ca="1" t="shared" si="194"/>
        <v>0</v>
      </c>
      <c r="P3611" s="62">
        <f ca="1" t="shared" si="195"/>
        <v>38</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0">
        <v>45922</v>
      </c>
      <c r="D3612" s="40" t="str">
        <f>VLOOKUP(B3612,辅助信息!E:K,7,FALSE)</f>
        <v>JWDDCD2025072900123</v>
      </c>
      <c r="E3612" s="40" t="str">
        <f>VLOOKUP(F3612,辅助信息!A:B,2,FALSE)</f>
        <v>螺纹钢</v>
      </c>
      <c r="F3612" s="40" t="s">
        <v>32</v>
      </c>
      <c r="G3612" s="36">
        <v>10</v>
      </c>
      <c r="H3612" s="134">
        <f>IF(SUMIFS('[1]2025年已发货'!$E:$E,'[1]2025年已发货'!$F:$F,C3612,'[1]2025年已发货'!$C:$C,F3612,'[1]2025年已发货'!$G:$G,I3612,'[1]2025年已发货'!$H:$H,J3612)=0,"未发货",SUMIFS('[1]2025年已发货'!$E:$E,'[1]2025年已发货'!$F:$F,C3612,'[1]2025年已发货'!$C:$C,F3612,'[1]2025年已发货'!$G:$G,I3612,'[1]2025年已发货'!$H:$H,J3612))</f>
        <v>10</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09" t="str">
        <f>VLOOKUP(B3612,辅助信息!E:J,6,FALSE)</f>
        <v>联系实际收货人（彭江涛13990276572）现场要求炉批号控制2个以下，超2个不给予签收。提前联系到场规格及数量</v>
      </c>
      <c r="M3612" s="91">
        <v>45922</v>
      </c>
      <c r="O3612" s="62">
        <f ca="1" t="shared" si="194"/>
        <v>0</v>
      </c>
      <c r="P3612" s="62">
        <f ca="1" t="shared" si="195"/>
        <v>38</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0">
        <v>45922</v>
      </c>
      <c r="D3613" s="40" t="str">
        <f>VLOOKUP(B3613,辅助信息!E:K,7,FALSE)</f>
        <v>JWDDCD2025072900123</v>
      </c>
      <c r="E3613" s="40" t="str">
        <f>VLOOKUP(F3613,辅助信息!A:B,2,FALSE)</f>
        <v>螺纹钢</v>
      </c>
      <c r="F3613" s="40" t="s">
        <v>66</v>
      </c>
      <c r="G3613" s="36">
        <v>3</v>
      </c>
      <c r="H3613" s="134">
        <f>IF(SUMIFS('[1]2025年已发货'!$E:$E,'[1]2025年已发货'!$F:$F,C3613,'[1]2025年已发货'!$C:$C,F3613,'[1]2025年已发货'!$G:$G,I3613,'[1]2025年已发货'!$H:$H,J3613)=0,"未发货",SUMIFS('[1]2025年已发货'!$E:$E,'[1]2025年已发货'!$F:$F,C3613,'[1]2025年已发货'!$C:$C,F3613,'[1]2025年已发货'!$G:$G,I3613,'[1]2025年已发货'!$H:$H,J3613))</f>
        <v>3</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09" t="str">
        <f>VLOOKUP(B3613,辅助信息!E:J,6,FALSE)</f>
        <v>联系实际收货人（彭江涛13990276572）现场要求炉批号控制2个以下，超2个不给予签收。提前联系到场规格及数量</v>
      </c>
      <c r="M3613" s="91">
        <v>45922</v>
      </c>
      <c r="O3613" s="62">
        <f ca="1" t="shared" si="194"/>
        <v>0</v>
      </c>
      <c r="P3613" s="62">
        <f ca="1" t="shared" si="195"/>
        <v>38</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0">
        <v>45922</v>
      </c>
      <c r="D3614" s="40" t="str">
        <f>VLOOKUP(B3614,辅助信息!E:K,7,FALSE)</f>
        <v>JWDDCD2025072900123</v>
      </c>
      <c r="E3614" s="40" t="str">
        <f>VLOOKUP(F3614,辅助信息!A:B,2,FALSE)</f>
        <v>螺纹钢</v>
      </c>
      <c r="F3614" s="40" t="s">
        <v>82</v>
      </c>
      <c r="G3614" s="36">
        <v>6</v>
      </c>
      <c r="H3614" s="134">
        <f>IF(SUMIFS('[1]2025年已发货'!$E:$E,'[1]2025年已发货'!$F:$F,C3614,'[1]2025年已发货'!$C:$C,F3614,'[1]2025年已发货'!$G:$G,I3614,'[1]2025年已发货'!$H:$H,J3614)=0,"未发货",SUMIFS('[1]2025年已发货'!$E:$E,'[1]2025年已发货'!$F:$F,C3614,'[1]2025年已发货'!$C:$C,F3614,'[1]2025年已发货'!$G:$G,I3614,'[1]2025年已发货'!$H:$H,J3614))</f>
        <v>6</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09" t="str">
        <f>VLOOKUP(B3614,辅助信息!E:J,6,FALSE)</f>
        <v>联系实际收货人（彭江涛13990276572）现场要求炉批号控制2个以下，超2个不给予签收。提前联系到场规格及数量</v>
      </c>
      <c r="M3614" s="91">
        <v>45922</v>
      </c>
      <c r="O3614" s="62">
        <f ca="1" t="shared" si="194"/>
        <v>0</v>
      </c>
      <c r="P3614" s="62">
        <f ca="1" t="shared" si="195"/>
        <v>38</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0">
        <v>45922</v>
      </c>
      <c r="D3615" s="40" t="str">
        <f>VLOOKUP(B3615,辅助信息!E:K,7,FALSE)</f>
        <v>JWDDCD2025072900123</v>
      </c>
      <c r="E3615" s="40" t="str">
        <f>VLOOKUP(F3615,辅助信息!A:B,2,FALSE)</f>
        <v>螺纹钢</v>
      </c>
      <c r="F3615" s="40" t="s">
        <v>45</v>
      </c>
      <c r="G3615" s="36">
        <v>3</v>
      </c>
      <c r="H3615" s="134">
        <f>IF(SUMIFS('[1]2025年已发货'!$E:$E,'[1]2025年已发货'!$F:$F,C3615,'[1]2025年已发货'!$C:$C,F3615,'[1]2025年已发货'!$G:$G,I3615,'[1]2025年已发货'!$H:$H,J3615)=0,"未发货",SUMIFS('[1]2025年已发货'!$E:$E,'[1]2025年已发货'!$F:$F,C3615,'[1]2025年已发货'!$C:$C,F3615,'[1]2025年已发货'!$G:$G,I3615,'[1]2025年已发货'!$H:$H,J3615))</f>
        <v>3</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09" t="str">
        <f>VLOOKUP(B3615,辅助信息!E:J,6,FALSE)</f>
        <v>联系实际收货人（彭江涛13990276572）现场要求炉批号控制2个以下，超2个不给予签收。提前联系到场规格及数量</v>
      </c>
      <c r="M3615" s="91">
        <v>45922</v>
      </c>
      <c r="O3615" s="62">
        <f ca="1" t="shared" si="194"/>
        <v>0</v>
      </c>
      <c r="P3615" s="62">
        <f ca="1" t="shared" si="195"/>
        <v>38</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0">
        <v>45922</v>
      </c>
      <c r="D3616" s="40" t="str">
        <f>VLOOKUP(B3616,辅助信息!E:K,7,FALSE)</f>
        <v>JWDDCD2025072900123</v>
      </c>
      <c r="E3616" s="40" t="str">
        <f>VLOOKUP(F3616,辅助信息!A:B,2,FALSE)</f>
        <v>螺纹钢</v>
      </c>
      <c r="F3616" s="40" t="s">
        <v>21</v>
      </c>
      <c r="G3616" s="36">
        <v>3</v>
      </c>
      <c r="H3616" s="134">
        <f>IF(SUMIFS('[1]2025年已发货'!$E:$E,'[1]2025年已发货'!$F:$F,C3616,'[1]2025年已发货'!$C:$C,F3616,'[1]2025年已发货'!$G:$G,I3616,'[1]2025年已发货'!$H:$H,J3616)=0,"未发货",SUMIFS('[1]2025年已发货'!$E:$E,'[1]2025年已发货'!$F:$F,C3616,'[1]2025年已发货'!$C:$C,F3616,'[1]2025年已发货'!$G:$G,I3616,'[1]2025年已发货'!$H:$H,J3616))</f>
        <v>3</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09" t="str">
        <f>VLOOKUP(B3616,辅助信息!E:J,6,FALSE)</f>
        <v>联系实际收货人（彭江涛13990276572）现场要求炉批号控制2个以下，超2个不给予签收。提前联系到场规格及数量</v>
      </c>
      <c r="M3616" s="91">
        <v>45922</v>
      </c>
      <c r="O3616" s="62">
        <f ca="1" t="shared" ref="O3616:O3679" si="196">IF(OR(M3616="",N3616&lt;&gt;""),"",MAX(M3616-TODAY(),0))</f>
        <v>0</v>
      </c>
      <c r="P3616" s="62">
        <f ca="1" t="shared" ref="P3616:P3679" si="197">IF(M3616="","",IF(N3616&lt;&gt;"",MAX(N3616-M3616,0),IF(TODAY()&gt;M3616,TODAY()-M3616,0)))</f>
        <v>38</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0">
        <v>45922</v>
      </c>
      <c r="D3617" s="40" t="str">
        <f>VLOOKUP(B3617,辅助信息!E:K,7,FALSE)</f>
        <v>JWDDCD2025072900123</v>
      </c>
      <c r="E3617" s="40" t="str">
        <f>VLOOKUP(F3617,辅助信息!A:B,2,FALSE)</f>
        <v>螺纹钢</v>
      </c>
      <c r="F3617" s="40" t="s">
        <v>198</v>
      </c>
      <c r="G3617" s="36">
        <v>4</v>
      </c>
      <c r="H3617" s="134">
        <f>IF(SUMIFS('[1]2025年已发货'!$E:$E,'[1]2025年已发货'!$F:$F,C3617,'[1]2025年已发货'!$C:$C,F3617,'[1]2025年已发货'!$G:$G,I3617,'[1]2025年已发货'!$H:$H,J3617)=0,"未发货",SUMIFS('[1]2025年已发货'!$E:$E,'[1]2025年已发货'!$F:$F,C3617,'[1]2025年已发货'!$C:$C,F3617,'[1]2025年已发货'!$G:$G,I3617,'[1]2025年已发货'!$H:$H,J3617))</f>
        <v>4</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09" t="str">
        <f>VLOOKUP(B3617,辅助信息!E:J,6,FALSE)</f>
        <v>联系实际收货人（彭江涛13990276572）现场要求炉批号控制2个以下，超2个不给予签收。提前联系到场规格及数量</v>
      </c>
      <c r="M3617" s="91">
        <v>45922</v>
      </c>
      <c r="O3617" s="62">
        <f ca="1" t="shared" si="196"/>
        <v>0</v>
      </c>
      <c r="P3617" s="62">
        <f ca="1" t="shared" si="197"/>
        <v>38</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0">
        <v>45922</v>
      </c>
      <c r="D3618" s="40" t="str">
        <f>VLOOKUP(B3618,辅助信息!E:K,7,FALSE)</f>
        <v>JWDDCD2025072900123</v>
      </c>
      <c r="E3618" s="40" t="str">
        <f>VLOOKUP(F3618,辅助信息!A:B,2,FALSE)</f>
        <v>螺纹钢</v>
      </c>
      <c r="F3618" s="40" t="s">
        <v>58</v>
      </c>
      <c r="G3618" s="36">
        <v>3</v>
      </c>
      <c r="H3618" s="134">
        <f>IF(SUMIFS('[1]2025年已发货'!$E:$E,'[1]2025年已发货'!$F:$F,C3618,'[1]2025年已发货'!$C:$C,F3618,'[1]2025年已发货'!$G:$G,I3618,'[1]2025年已发货'!$H:$H,J3618)=0,"未发货",SUMIFS('[1]2025年已发货'!$E:$E,'[1]2025年已发货'!$F:$F,C3618,'[1]2025年已发货'!$C:$C,F3618,'[1]2025年已发货'!$G:$G,I3618,'[1]2025年已发货'!$H:$H,J3618))</f>
        <v>3</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09" t="str">
        <f>VLOOKUP(B3618,辅助信息!E:J,6,FALSE)</f>
        <v>联系实际收货人（彭江涛13990276572）现场要求炉批号控制2个以下，超2个不给予签收。提前联系到场规格及数量</v>
      </c>
      <c r="M3618" s="91">
        <v>45922</v>
      </c>
      <c r="O3618" s="62">
        <f ca="1" t="shared" si="196"/>
        <v>0</v>
      </c>
      <c r="P3618" s="62">
        <f ca="1" t="shared" si="197"/>
        <v>38</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0">
        <v>45922</v>
      </c>
      <c r="D3619" s="40" t="str">
        <f>VLOOKUP(B3619,辅助信息!E:K,7,FALSE)</f>
        <v>JWDDCD2025072900123</v>
      </c>
      <c r="E3619" s="40" t="str">
        <f>VLOOKUP(F3619,辅助信息!A:B,2,FALSE)</f>
        <v>螺纹钢</v>
      </c>
      <c r="F3619" s="40" t="s">
        <v>199</v>
      </c>
      <c r="G3619" s="36">
        <v>17</v>
      </c>
      <c r="H3619" s="134">
        <f>IF(SUMIFS('[1]2025年已发货'!$E:$E,'[1]2025年已发货'!$F:$F,C3619,'[1]2025年已发货'!$C:$C,F3619,'[1]2025年已发货'!$G:$G,I3619,'[1]2025年已发货'!$H:$H,J3619)=0,"未发货",SUMIFS('[1]2025年已发货'!$E:$E,'[1]2025年已发货'!$F:$F,C3619,'[1]2025年已发货'!$C:$C,F3619,'[1]2025年已发货'!$G:$G,I3619,'[1]2025年已发货'!$H:$H,J3619))</f>
        <v>17</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09" t="str">
        <f>VLOOKUP(B3619,辅助信息!E:J,6,FALSE)</f>
        <v>联系实际收货人（彭江涛13990276572）现场要求炉批号控制2个以下，超2个不给予签收。提前联系到场规格及数量</v>
      </c>
      <c r="M3619" s="91">
        <v>45922</v>
      </c>
      <c r="O3619" s="62">
        <f ca="1" t="shared" si="196"/>
        <v>0</v>
      </c>
      <c r="P3619" s="62">
        <f ca="1" t="shared" si="197"/>
        <v>38</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0">
        <v>45922</v>
      </c>
      <c r="D3620" s="40" t="str">
        <f>VLOOKUP(B3620,辅助信息!E:K,7,FALSE)</f>
        <v>JWDDCD2025072900123</v>
      </c>
      <c r="E3620" s="40" t="str">
        <f>VLOOKUP(F3620,辅助信息!A:B,2,FALSE)</f>
        <v>螺纹钢</v>
      </c>
      <c r="F3620" s="40" t="s">
        <v>46</v>
      </c>
      <c r="G3620" s="36">
        <v>3</v>
      </c>
      <c r="H3620" s="134">
        <f>IF(SUMIFS('[1]2025年已发货'!$E:$E,'[1]2025年已发货'!$F:$F,C3620,'[1]2025年已发货'!$C:$C,F3620,'[1]2025年已发货'!$G:$G,I3620,'[1]2025年已发货'!$H:$H,J3620)=0,"未发货",SUMIFS('[1]2025年已发货'!$E:$E,'[1]2025年已发货'!$F:$F,C3620,'[1]2025年已发货'!$C:$C,F3620,'[1]2025年已发货'!$G:$G,I3620,'[1]2025年已发货'!$H:$H,J3620))</f>
        <v>3</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09" t="str">
        <f>VLOOKUP(B3620,辅助信息!E:J,6,FALSE)</f>
        <v>联系实际收货人（彭江涛13990276572）现场要求炉批号控制2个以下，超2个不给予签收。提前联系到场规格及数量</v>
      </c>
      <c r="M3620" s="91">
        <v>45922</v>
      </c>
      <c r="O3620" s="62">
        <f ca="1" t="shared" si="196"/>
        <v>0</v>
      </c>
      <c r="P3620" s="62">
        <f ca="1" t="shared" si="197"/>
        <v>38</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0">
        <v>45922</v>
      </c>
      <c r="D3621" s="40" t="str">
        <f>VLOOKUP(B3621,辅助信息!E:K,7,FALSE)</f>
        <v>JWDDCD2025072900123</v>
      </c>
      <c r="E3621" s="40" t="str">
        <f>VLOOKUP(F3621,辅助信息!A:B,2,FALSE)</f>
        <v>螺纹钢</v>
      </c>
      <c r="F3621" s="40" t="s">
        <v>22</v>
      </c>
      <c r="G3621" s="36">
        <v>15</v>
      </c>
      <c r="H3621" s="134">
        <f>IF(SUMIFS('[1]2025年已发货'!$E:$E,'[1]2025年已发货'!$F:$F,C3621,'[1]2025年已发货'!$C:$C,F3621,'[1]2025年已发货'!$G:$G,I3621,'[1]2025年已发货'!$H:$H,J3621)=0,"未发货",SUMIFS('[1]2025年已发货'!$E:$E,'[1]2025年已发货'!$F:$F,C3621,'[1]2025年已发货'!$C:$C,F3621,'[1]2025年已发货'!$G:$G,I3621,'[1]2025年已发货'!$H:$H,J3621))</f>
        <v>15</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09" t="str">
        <f>VLOOKUP(B3621,辅助信息!E:J,6,FALSE)</f>
        <v>联系实际收货人（彭江涛13990276572）现场要求炉批号控制2个以下，超2个不给予签收。提前联系到场规格及数量</v>
      </c>
      <c r="M3621" s="91">
        <v>45922</v>
      </c>
      <c r="O3621" s="62">
        <f ca="1" t="shared" si="196"/>
        <v>0</v>
      </c>
      <c r="P3621" s="62">
        <f ca="1" t="shared" si="197"/>
        <v>38</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0">
        <v>45922</v>
      </c>
      <c r="D3622" s="40" t="str">
        <f>VLOOKUP(B3622,辅助信息!E:K,7,FALSE)</f>
        <v>JWDDCD2025072900123</v>
      </c>
      <c r="E3622" s="40" t="str">
        <f>VLOOKUP(F3622,辅助信息!A:B,2,FALSE)</f>
        <v>螺纹钢</v>
      </c>
      <c r="F3622" s="40" t="s">
        <v>142</v>
      </c>
      <c r="G3622" s="36">
        <v>59</v>
      </c>
      <c r="H3622" s="134">
        <f>IF(SUMIFS('[1]2025年已发货'!$E:$E,'[1]2025年已发货'!$F:$F,C3622,'[1]2025年已发货'!$C:$C,F3622,'[1]2025年已发货'!$G:$G,I3622,'[1]2025年已发货'!$H:$H,J3622)=0,"未发货",SUMIFS('[1]2025年已发货'!$E:$E,'[1]2025年已发货'!$F:$F,C3622,'[1]2025年已发货'!$C:$C,F3622,'[1]2025年已发货'!$G:$G,I3622,'[1]2025年已发货'!$H:$H,J3622))</f>
        <v>45</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09" t="str">
        <f>VLOOKUP(B3622,辅助信息!E:J,6,FALSE)</f>
        <v>联系实际收货人（彭江涛13990276572）现场要求炉批号控制2个以下，超2个不给予签收。提前联系到场规格及数量</v>
      </c>
      <c r="M3622" s="91">
        <v>45922</v>
      </c>
      <c r="O3622" s="62">
        <f ca="1" t="shared" si="196"/>
        <v>0</v>
      </c>
      <c r="P3622" s="62">
        <f ca="1" t="shared" si="197"/>
        <v>38</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0">
        <v>45922</v>
      </c>
      <c r="D3623" s="40" t="str">
        <f>VLOOKUP(B3623,辅助信息!E:K,7,FALSE)</f>
        <v>JWDDCD2025072900123</v>
      </c>
      <c r="E3623" s="40" t="str">
        <f>VLOOKUP(F3623,辅助信息!A:B,2,FALSE)</f>
        <v>螺纹钢</v>
      </c>
      <c r="F3623" s="40" t="s">
        <v>181</v>
      </c>
      <c r="G3623" s="36">
        <v>6</v>
      </c>
      <c r="H3623" s="134">
        <f>IF(SUMIFS('[1]2025年已发货'!$E:$E,'[1]2025年已发货'!$F:$F,C3623,'[1]2025年已发货'!$C:$C,F3623,'[1]2025年已发货'!$G:$G,I3623,'[1]2025年已发货'!$H:$H,J3623)=0,"未发货",SUMIFS('[1]2025年已发货'!$E:$E,'[1]2025年已发货'!$F:$F,C3623,'[1]2025年已发货'!$C:$C,F3623,'[1]2025年已发货'!$G:$G,I3623,'[1]2025年已发货'!$H:$H,J3623))</f>
        <v>6</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09" t="str">
        <f>VLOOKUP(B3623,辅助信息!E:J,6,FALSE)</f>
        <v>联系实际收货人（彭江涛13990276572）现场要求炉批号控制2个以下，超2个不给予签收。提前联系到场规格及数量</v>
      </c>
      <c r="M3623" s="91">
        <v>45922</v>
      </c>
      <c r="O3623" s="62">
        <f ca="1" t="shared" si="196"/>
        <v>0</v>
      </c>
      <c r="P3623" s="62">
        <f ca="1" t="shared" si="197"/>
        <v>38</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0">
        <v>45922</v>
      </c>
      <c r="D3624" s="40" t="str">
        <f>VLOOKUP(B3624,辅助信息!E:K,7,FALSE)</f>
        <v>JWDDCD2025072900123</v>
      </c>
      <c r="E3624" s="40" t="str">
        <f>VLOOKUP(F3624,辅助信息!A:B,2,FALSE)</f>
        <v>螺纹钢</v>
      </c>
      <c r="F3624" s="40" t="s">
        <v>182</v>
      </c>
      <c r="G3624" s="36">
        <v>3</v>
      </c>
      <c r="H3624" s="134">
        <f>IF(SUMIFS('[1]2025年已发货'!$E:$E,'[1]2025年已发货'!$F:$F,C3624,'[1]2025年已发货'!$C:$C,F3624,'[1]2025年已发货'!$G:$G,I3624,'[1]2025年已发货'!$H:$H,J3624)=0,"未发货",SUMIFS('[1]2025年已发货'!$E:$E,'[1]2025年已发货'!$F:$F,C3624,'[1]2025年已发货'!$C:$C,F3624,'[1]2025年已发货'!$G:$G,I3624,'[1]2025年已发货'!$H:$H,J3624))</f>
        <v>3</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09" t="str">
        <f>VLOOKUP(B3624,辅助信息!E:J,6,FALSE)</f>
        <v>联系实际收货人（彭江涛13990276572）现场要求炉批号控制2个以下，超2个不给予签收。提前联系到场规格及数量</v>
      </c>
      <c r="M3624" s="91">
        <v>45922</v>
      </c>
      <c r="O3624" s="62">
        <f ca="1" t="shared" si="196"/>
        <v>0</v>
      </c>
      <c r="P3624" s="62">
        <f ca="1" t="shared" si="197"/>
        <v>38</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0">
        <v>45922</v>
      </c>
      <c r="D3625" s="40" t="str">
        <f>VLOOKUP(B3625,辅助信息!E:K,7,FALSE)</f>
        <v>JWDDCD2025072900123</v>
      </c>
      <c r="E3625" s="40" t="str">
        <f>VLOOKUP(F3625,辅助信息!A:B,2,FALSE)</f>
        <v>盘螺</v>
      </c>
      <c r="F3625" s="40" t="s">
        <v>41</v>
      </c>
      <c r="G3625" s="36">
        <v>3</v>
      </c>
      <c r="H3625" s="134">
        <f>IF(SUMIFS('[1]2025年已发货'!$E:$E,'[1]2025年已发货'!$F:$F,C3625,'[1]2025年已发货'!$C:$C,F3625,'[1]2025年已发货'!$G:$G,I3625,'[1]2025年已发货'!$H:$H,J3625)=0,"未发货",SUMIFS('[1]2025年已发货'!$E:$E,'[1]2025年已发货'!$F:$F,C3625,'[1]2025年已发货'!$C:$C,F3625,'[1]2025年已发货'!$G:$G,I3625,'[1]2025年已发货'!$H:$H,J3625))</f>
        <v>3</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09" t="str">
        <f>VLOOKUP(B3625,辅助信息!E:J,6,FALSE)</f>
        <v>联系实际收货人（彭江涛13990276572）现场要求炉批号控制2个以下，超2个不给予签收。提前联系到场规格及数量</v>
      </c>
      <c r="M3625" s="91">
        <v>45922</v>
      </c>
      <c r="O3625" s="62">
        <f ca="1" t="shared" si="196"/>
        <v>0</v>
      </c>
      <c r="P3625" s="62">
        <f ca="1" t="shared" si="197"/>
        <v>38</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0">
        <v>45922</v>
      </c>
      <c r="D3626" s="40" t="str">
        <f>VLOOKUP(B3626,辅助信息!E:K,7,FALSE)</f>
        <v>JWDDCD2025072900123</v>
      </c>
      <c r="E3626" s="40" t="str">
        <f>VLOOKUP(F3626,辅助信息!A:B,2,FALSE)</f>
        <v>盘螺</v>
      </c>
      <c r="F3626" s="40" t="s">
        <v>26</v>
      </c>
      <c r="G3626" s="36">
        <v>10</v>
      </c>
      <c r="H3626" s="134">
        <f>IF(SUMIFS('[1]2025年已发货'!$E:$E,'[1]2025年已发货'!$F:$F,C3626,'[1]2025年已发货'!$C:$C,F3626,'[1]2025年已发货'!$G:$G,I3626,'[1]2025年已发货'!$H:$H,J3626)=0,"未发货",SUMIFS('[1]2025年已发货'!$E:$E,'[1]2025年已发货'!$F:$F,C3626,'[1]2025年已发货'!$C:$C,F3626,'[1]2025年已发货'!$G:$G,I3626,'[1]2025年已发货'!$H:$H,J3626))</f>
        <v>10</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09" t="str">
        <f>VLOOKUP(B3626,辅助信息!E:J,6,FALSE)</f>
        <v>联系实际收货人（彭江涛13990276572）现场要求炉批号控制2个以下，超2个不给予签收。提前联系到场规格及数量</v>
      </c>
      <c r="M3626" s="91">
        <v>45922</v>
      </c>
      <c r="O3626" s="62">
        <f ca="1" t="shared" si="196"/>
        <v>0</v>
      </c>
      <c r="P3626" s="62">
        <f ca="1" t="shared" si="197"/>
        <v>38</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0">
        <v>45922</v>
      </c>
      <c r="D3627" s="40" t="str">
        <f>VLOOKUP(B3627,辅助信息!E:K,7,FALSE)</f>
        <v>JWDDCD2025072900123</v>
      </c>
      <c r="E3627" s="40" t="str">
        <f>VLOOKUP(F3627,辅助信息!A:B,2,FALSE)</f>
        <v>盘螺</v>
      </c>
      <c r="F3627" s="40" t="s">
        <v>49</v>
      </c>
      <c r="G3627" s="36">
        <v>5</v>
      </c>
      <c r="H3627" s="134">
        <f>IF(SUMIFS('[1]2025年已发货'!$E:$E,'[1]2025年已发货'!$F:$F,C3627,'[1]2025年已发货'!$C:$C,F3627,'[1]2025年已发货'!$G:$G,I3627,'[1]2025年已发货'!$H:$H,J3627)=0,"未发货",SUMIFS('[1]2025年已发货'!$E:$E,'[1]2025年已发货'!$F:$F,C3627,'[1]2025年已发货'!$C:$C,F3627,'[1]2025年已发货'!$G:$G,I3627,'[1]2025年已发货'!$H:$H,J3627))</f>
        <v>5</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09" t="str">
        <f>VLOOKUP(B3627,辅助信息!E:J,6,FALSE)</f>
        <v>联系实际收货人（彭江涛13990276572）现场要求炉批号控制2个以下，超2个不给予签收。提前联系到场规格及数量</v>
      </c>
      <c r="M3627" s="91">
        <v>45922</v>
      </c>
      <c r="O3627" s="62">
        <f ca="1" t="shared" si="196"/>
        <v>0</v>
      </c>
      <c r="P3627" s="62">
        <f ca="1" t="shared" si="197"/>
        <v>38</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0">
        <v>45922</v>
      </c>
      <c r="D3628" s="40" t="str">
        <f>VLOOKUP(B3628,辅助信息!E:K,7,FALSE)</f>
        <v>JWDDCD2025052800131</v>
      </c>
      <c r="E3628" s="40" t="str">
        <f>VLOOKUP(F3628,辅助信息!A:B,2,FALSE)</f>
        <v>盘螺</v>
      </c>
      <c r="F3628" s="40" t="s">
        <v>49</v>
      </c>
      <c r="G3628" s="36">
        <v>6</v>
      </c>
      <c r="H3628" s="134"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09" t="str">
        <f>VLOOKUP(B3628,辅助信息!E:J,6,FALSE)</f>
        <v>控制炉批号！多了现场不收！,优先安排达钢,提前联系到场规格及数量</v>
      </c>
      <c r="M3628" s="91"/>
      <c r="O3628" s="62" t="str">
        <f ca="1" t="shared" si="196"/>
        <v/>
      </c>
      <c r="P3628" s="62"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7" t="s">
        <v>221</v>
      </c>
      <c r="B3629" s="97" t="s">
        <v>163</v>
      </c>
      <c r="C3629" s="70">
        <v>45922</v>
      </c>
      <c r="D3629" s="40" t="str">
        <f>VLOOKUP(B3629,辅助信息!E:K,7,FALSE)</f>
        <v>JWDDCD2025052800131</v>
      </c>
      <c r="E3629" s="40" t="str">
        <f>VLOOKUP(F3629,辅助信息!A:B,2,FALSE)</f>
        <v>盘螺</v>
      </c>
      <c r="F3629" s="40" t="s">
        <v>40</v>
      </c>
      <c r="G3629" s="146">
        <v>47</v>
      </c>
      <c r="H3629" s="134">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09" t="str">
        <f>VLOOKUP(B3629,辅助信息!E:J,6,FALSE)</f>
        <v>控制炉批号！多了现场不收！,优先安排达钢,提前联系到场规格及数量</v>
      </c>
      <c r="M3629" s="91">
        <v>45922</v>
      </c>
      <c r="O3629" s="62">
        <f ca="1" t="shared" si="196"/>
        <v>0</v>
      </c>
      <c r="P3629" s="62">
        <f ca="1" t="shared" si="197"/>
        <v>38</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7" t="s">
        <v>163</v>
      </c>
      <c r="C3630" s="70">
        <v>45922</v>
      </c>
      <c r="D3630" s="40" t="str">
        <f>VLOOKUP(B3630,辅助信息!E:K,7,FALSE)</f>
        <v>JWDDCD2025052800131</v>
      </c>
      <c r="E3630" s="40" t="str">
        <f>VLOOKUP(F3630,辅助信息!A:B,2,FALSE)</f>
        <v>盘螺</v>
      </c>
      <c r="F3630" s="40" t="s">
        <v>41</v>
      </c>
      <c r="G3630" s="146">
        <v>31</v>
      </c>
      <c r="H3630" s="134">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09" t="str">
        <f>VLOOKUP(B3630,辅助信息!E:J,6,FALSE)</f>
        <v>控制炉批号！多了现场不收！,优先安排达钢,提前联系到场规格及数量</v>
      </c>
      <c r="M3630" s="91">
        <v>45922</v>
      </c>
      <c r="O3630" s="62">
        <f ca="1" t="shared" si="196"/>
        <v>0</v>
      </c>
      <c r="P3630" s="62">
        <f ca="1" t="shared" si="197"/>
        <v>38</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0">
        <v>45922</v>
      </c>
      <c r="D3631" s="40" t="str">
        <f>VLOOKUP(B3631,辅助信息!E:K,7,FALSE)</f>
        <v>JWDDCD2025052800131</v>
      </c>
      <c r="E3631" s="40" t="str">
        <f>VLOOKUP(F3631,辅助信息!A:B,2,FALSE)</f>
        <v>螺纹钢</v>
      </c>
      <c r="F3631" s="40" t="s">
        <v>58</v>
      </c>
      <c r="G3631" s="146">
        <v>15</v>
      </c>
      <c r="H3631" s="134"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09" t="str">
        <f>VLOOKUP(B3631,辅助信息!E:J,6,FALSE)</f>
        <v>控制炉批号！多了现场不收！,优先安排达钢,提前联系到场规格及数量</v>
      </c>
      <c r="M3631" s="91"/>
      <c r="O3631" s="62" t="str">
        <f ca="1" t="shared" si="196"/>
        <v/>
      </c>
      <c r="P3631" s="62"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0">
        <v>45922</v>
      </c>
      <c r="D3632" s="40" t="str">
        <f>VLOOKUP(B3632,辅助信息!E:K,7,FALSE)</f>
        <v>JWDDCD2025052800131</v>
      </c>
      <c r="E3632" s="40" t="str">
        <f>VLOOKUP(F3632,辅助信息!A:B,2,FALSE)</f>
        <v>螺纹钢</v>
      </c>
      <c r="F3632" s="40" t="s">
        <v>46</v>
      </c>
      <c r="G3632" s="146">
        <v>9</v>
      </c>
      <c r="H3632" s="134"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09" t="str">
        <f>VLOOKUP(B3632,辅助信息!E:J,6,FALSE)</f>
        <v>控制炉批号！多了现场不收！,优先安排达钢,提前联系到场规格及数量</v>
      </c>
      <c r="M3632" s="91"/>
      <c r="O3632" s="62" t="str">
        <f ca="1" t="shared" si="196"/>
        <v/>
      </c>
      <c r="P3632" s="62"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0">
        <v>45922</v>
      </c>
      <c r="D3633" s="40" t="str">
        <f>VLOOKUP(B3633,辅助信息!E:K,7,FALSE)</f>
        <v>JWDDCD2025052800131</v>
      </c>
      <c r="E3633" s="40" t="str">
        <f>VLOOKUP(F3633,辅助信息!A:B,2,FALSE)</f>
        <v>螺纹钢</v>
      </c>
      <c r="F3633" s="40" t="s">
        <v>22</v>
      </c>
      <c r="G3633" s="146">
        <v>15</v>
      </c>
      <c r="H3633" s="134"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09" t="str">
        <f>VLOOKUP(B3633,辅助信息!E:J,6,FALSE)</f>
        <v>控制炉批号！多了现场不收！,优先安排达钢,提前联系到场规格及数量</v>
      </c>
      <c r="M3633" s="91"/>
      <c r="O3633" s="62" t="str">
        <f ca="1" t="shared" si="196"/>
        <v/>
      </c>
      <c r="P3633" s="62"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0">
        <v>45922</v>
      </c>
      <c r="D3634" s="40" t="str">
        <f>VLOOKUP(B3634,辅助信息!E:K,7,FALSE)</f>
        <v>JWDDCD2025052800131</v>
      </c>
      <c r="E3634" s="40" t="str">
        <f>VLOOKUP(F3634,辅助信息!A:B,2,FALSE)</f>
        <v>螺纹钢</v>
      </c>
      <c r="F3634" s="40" t="s">
        <v>27</v>
      </c>
      <c r="G3634" s="36">
        <v>15</v>
      </c>
      <c r="H3634" s="134"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09" t="str">
        <f>VLOOKUP(B3634,辅助信息!E:J,6,FALSE)</f>
        <v>控制炉批号！多了现场不收！,优先安排达钢,提前联系到场规格及数量</v>
      </c>
      <c r="M3634" s="91">
        <v>45925</v>
      </c>
      <c r="O3634" s="62">
        <f ca="1" t="shared" si="196"/>
        <v>0</v>
      </c>
      <c r="P3634" s="62">
        <f ca="1" t="shared" si="197"/>
        <v>35</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0">
        <v>45922</v>
      </c>
      <c r="D3635" s="40" t="str">
        <f>VLOOKUP(B3635,辅助信息!E:K,7,FALSE)</f>
        <v>JWDDCD2025052800131</v>
      </c>
      <c r="E3635" s="40" t="str">
        <f>VLOOKUP(F3635,辅助信息!A:B,2,FALSE)</f>
        <v>螺纹钢</v>
      </c>
      <c r="F3635" s="40" t="s">
        <v>45</v>
      </c>
      <c r="G3635" s="36">
        <v>6</v>
      </c>
      <c r="H3635" s="134"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09" t="str">
        <f>VLOOKUP(B3635,辅助信息!E:J,6,FALSE)</f>
        <v>控制炉批号！多了现场不收！,优先安排达钢,提前联系到场规格及数量</v>
      </c>
      <c r="M3635" s="91">
        <v>45925</v>
      </c>
      <c r="O3635" s="62">
        <f ca="1" t="shared" si="196"/>
        <v>0</v>
      </c>
      <c r="P3635" s="62">
        <f ca="1" t="shared" si="197"/>
        <v>35</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0">
        <v>45922</v>
      </c>
      <c r="D3636" s="40" t="str">
        <f>VLOOKUP(B3636,辅助信息!E:K,7,FALSE)</f>
        <v>JWDDCD2025052800131</v>
      </c>
      <c r="E3636" s="40" t="str">
        <f>VLOOKUP(F3636,辅助信息!A:B,2,FALSE)</f>
        <v>螺纹钢</v>
      </c>
      <c r="F3636" s="40" t="s">
        <v>21</v>
      </c>
      <c r="G3636" s="36">
        <v>12</v>
      </c>
      <c r="H3636" s="134"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09" t="str">
        <f>VLOOKUP(B3636,辅助信息!E:J,6,FALSE)</f>
        <v>控制炉批号！多了现场不收！,优先安排达钢,提前联系到场规格及数量</v>
      </c>
      <c r="M3636" s="91">
        <v>45925</v>
      </c>
      <c r="O3636" s="62">
        <f ca="1" t="shared" si="196"/>
        <v>0</v>
      </c>
      <c r="P3636" s="62">
        <f ca="1" t="shared" si="197"/>
        <v>35</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0">
        <v>45922</v>
      </c>
      <c r="D3637" s="40" t="str">
        <f>VLOOKUP(B3637,辅助信息!E:K,7,FALSE)</f>
        <v>JWDDCD2025052800131</v>
      </c>
      <c r="E3637" s="40" t="str">
        <f>VLOOKUP(F3637,辅助信息!A:B,2,FALSE)</f>
        <v>螺纹钢</v>
      </c>
      <c r="F3637" s="40" t="s">
        <v>58</v>
      </c>
      <c r="G3637" s="36">
        <v>12</v>
      </c>
      <c r="H3637" s="134"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09" t="str">
        <f>VLOOKUP(B3637,辅助信息!E:J,6,FALSE)</f>
        <v>控制炉批号！多了现场不收！,优先安排达钢,提前联系到场规格及数量</v>
      </c>
      <c r="M3637" s="91">
        <v>45925</v>
      </c>
      <c r="O3637" s="62">
        <f ca="1" t="shared" si="196"/>
        <v>0</v>
      </c>
      <c r="P3637" s="62">
        <f ca="1" t="shared" si="197"/>
        <v>35</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0">
        <v>45922</v>
      </c>
      <c r="D3638" s="40" t="str">
        <f>VLOOKUP(B3638,辅助信息!E:K,7,FALSE)</f>
        <v>JWDDCD2025052800131</v>
      </c>
      <c r="E3638" s="40" t="str">
        <f>VLOOKUP(F3638,辅助信息!A:B,2,FALSE)</f>
        <v>螺纹钢</v>
      </c>
      <c r="F3638" s="40" t="s">
        <v>46</v>
      </c>
      <c r="G3638" s="36">
        <v>15</v>
      </c>
      <c r="H3638" s="134"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09" t="str">
        <f>VLOOKUP(B3638,辅助信息!E:J,6,FALSE)</f>
        <v>控制炉批号！多了现场不收！,优先安排达钢,提前联系到场规格及数量</v>
      </c>
      <c r="M3638" s="91">
        <v>45925</v>
      </c>
      <c r="O3638" s="62">
        <f ca="1" t="shared" si="196"/>
        <v>0</v>
      </c>
      <c r="P3638" s="62">
        <f ca="1" t="shared" si="197"/>
        <v>35</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0">
        <v>45922</v>
      </c>
      <c r="D3639" s="40" t="str">
        <f>VLOOKUP(B3639,辅助信息!E:K,7,FALSE)</f>
        <v>JWDDCD2025052800131</v>
      </c>
      <c r="E3639" s="40" t="str">
        <f>VLOOKUP(F3639,辅助信息!A:B,2,FALSE)</f>
        <v>螺纹钢</v>
      </c>
      <c r="F3639" s="40" t="s">
        <v>22</v>
      </c>
      <c r="G3639" s="36">
        <v>6</v>
      </c>
      <c r="H3639" s="134"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09" t="str">
        <f>VLOOKUP(B3639,辅助信息!E:J,6,FALSE)</f>
        <v>控制炉批号！多了现场不收！,优先安排达钢,提前联系到场规格及数量</v>
      </c>
      <c r="M3639" s="91">
        <v>45925</v>
      </c>
      <c r="O3639" s="62">
        <f ca="1" t="shared" si="196"/>
        <v>0</v>
      </c>
      <c r="P3639" s="62">
        <f ca="1" t="shared" si="197"/>
        <v>35</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7" t="s">
        <v>222</v>
      </c>
      <c r="B3640" s="97" t="s">
        <v>203</v>
      </c>
      <c r="C3640" s="70">
        <v>45922</v>
      </c>
      <c r="D3640" s="40" t="str">
        <f>VLOOKUP(B3640,辅助信息!E:K,7,FALSE)</f>
        <v>JWDDCD2025102100479</v>
      </c>
      <c r="E3640" s="40" t="str">
        <f>VLOOKUP(F3640,辅助信息!A:B,2,FALSE)</f>
        <v>螺纹钢</v>
      </c>
      <c r="F3640" s="40" t="s">
        <v>27</v>
      </c>
      <c r="G3640" s="36">
        <v>25</v>
      </c>
      <c r="H3640" s="134">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09"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1">
        <v>45923</v>
      </c>
      <c r="O3640" s="62">
        <f ca="1" t="shared" si="196"/>
        <v>0</v>
      </c>
      <c r="P3640" s="62">
        <f ca="1" t="shared" si="197"/>
        <v>37</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7" t="s">
        <v>203</v>
      </c>
      <c r="C3641" s="70">
        <v>45922</v>
      </c>
      <c r="D3641" s="40" t="str">
        <f>VLOOKUP(B3641,辅助信息!E:K,7,FALSE)</f>
        <v>JWDDCD2025102100479</v>
      </c>
      <c r="E3641" s="40" t="str">
        <f>VLOOKUP(F3641,辅助信息!A:B,2,FALSE)</f>
        <v>螺纹钢</v>
      </c>
      <c r="F3641" s="40" t="s">
        <v>19</v>
      </c>
      <c r="G3641" s="36">
        <v>28</v>
      </c>
      <c r="H3641" s="134">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09"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1">
        <v>45923</v>
      </c>
      <c r="O3641" s="62">
        <f ca="1" t="shared" si="196"/>
        <v>0</v>
      </c>
      <c r="P3641" s="62">
        <f ca="1" t="shared" si="197"/>
        <v>37</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7" t="s">
        <v>203</v>
      </c>
      <c r="C3642" s="70">
        <v>45922</v>
      </c>
      <c r="D3642" s="40" t="str">
        <f>VLOOKUP(B3642,辅助信息!E:K,7,FALSE)</f>
        <v>JWDDCD2025102100479</v>
      </c>
      <c r="E3642" s="40" t="str">
        <f>VLOOKUP(F3642,辅助信息!A:B,2,FALSE)</f>
        <v>螺纹钢</v>
      </c>
      <c r="F3642" s="40" t="s">
        <v>32</v>
      </c>
      <c r="G3642" s="36">
        <v>10</v>
      </c>
      <c r="H3642" s="134">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09"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1">
        <v>45923</v>
      </c>
      <c r="O3642" s="62">
        <f ca="1" t="shared" si="196"/>
        <v>0</v>
      </c>
      <c r="P3642" s="62">
        <f ca="1" t="shared" si="197"/>
        <v>37</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7" t="s">
        <v>203</v>
      </c>
      <c r="C3643" s="70">
        <v>45922</v>
      </c>
      <c r="D3643" s="40" t="str">
        <f>VLOOKUP(B3643,辅助信息!E:K,7,FALSE)</f>
        <v>JWDDCD2025102100479</v>
      </c>
      <c r="E3643" s="40" t="str">
        <f>VLOOKUP(F3643,辅助信息!A:B,2,FALSE)</f>
        <v>螺纹钢</v>
      </c>
      <c r="F3643" s="40" t="s">
        <v>30</v>
      </c>
      <c r="G3643" s="36">
        <v>10</v>
      </c>
      <c r="H3643" s="134">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09"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1">
        <v>45923</v>
      </c>
      <c r="O3643" s="62">
        <f ca="1" t="shared" si="196"/>
        <v>0</v>
      </c>
      <c r="P3643" s="62">
        <f ca="1" t="shared" si="197"/>
        <v>37</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7" t="s">
        <v>203</v>
      </c>
      <c r="C3644" s="70">
        <v>45922</v>
      </c>
      <c r="D3644" s="40" t="str">
        <f>VLOOKUP(B3644,辅助信息!E:K,7,FALSE)</f>
        <v>JWDDCD2025102100479</v>
      </c>
      <c r="E3644" s="40" t="str">
        <f>VLOOKUP(F3644,辅助信息!A:B,2,FALSE)</f>
        <v>螺纹钢</v>
      </c>
      <c r="F3644" s="40" t="s">
        <v>33</v>
      </c>
      <c r="G3644" s="36">
        <v>10</v>
      </c>
      <c r="H3644" s="134">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09"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1">
        <v>45923</v>
      </c>
      <c r="O3644" s="62">
        <f ca="1" t="shared" si="196"/>
        <v>0</v>
      </c>
      <c r="P3644" s="62">
        <f ca="1" t="shared" si="197"/>
        <v>37</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7" t="s">
        <v>203</v>
      </c>
      <c r="C3645" s="70">
        <v>45922</v>
      </c>
      <c r="D3645" s="40" t="str">
        <f>VLOOKUP(B3645,辅助信息!E:K,7,FALSE)</f>
        <v>JWDDCD2025102100479</v>
      </c>
      <c r="E3645" s="40" t="str">
        <f>VLOOKUP(F3645,辅助信息!A:B,2,FALSE)</f>
        <v>螺纹钢</v>
      </c>
      <c r="F3645" s="40" t="s">
        <v>28</v>
      </c>
      <c r="G3645" s="36">
        <v>10</v>
      </c>
      <c r="H3645" s="134">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09"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1">
        <v>45923</v>
      </c>
      <c r="O3645" s="62">
        <f ca="1" t="shared" si="196"/>
        <v>0</v>
      </c>
      <c r="P3645" s="62">
        <f ca="1" t="shared" si="197"/>
        <v>37</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7" t="s">
        <v>203</v>
      </c>
      <c r="C3646" s="70">
        <v>45922</v>
      </c>
      <c r="D3646" s="40" t="str">
        <f>VLOOKUP(B3646,辅助信息!E:K,7,FALSE)</f>
        <v>JWDDCD2025102100479</v>
      </c>
      <c r="E3646" s="40" t="str">
        <f>VLOOKUP(F3646,辅助信息!A:B,2,FALSE)</f>
        <v>螺纹钢</v>
      </c>
      <c r="F3646" s="40" t="s">
        <v>18</v>
      </c>
      <c r="G3646" s="36">
        <v>10</v>
      </c>
      <c r="H3646" s="134">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09"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1">
        <v>45923</v>
      </c>
      <c r="O3646" s="62">
        <f ca="1" t="shared" si="196"/>
        <v>0</v>
      </c>
      <c r="P3646" s="62">
        <f ca="1" t="shared" si="197"/>
        <v>37</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7" t="s">
        <v>203</v>
      </c>
      <c r="C3647" s="70">
        <v>45922</v>
      </c>
      <c r="D3647" s="40" t="str">
        <f>VLOOKUP(B3647,辅助信息!E:K,7,FALSE)</f>
        <v>JWDDCD2025102100479</v>
      </c>
      <c r="E3647" s="40" t="str">
        <f>VLOOKUP(F3647,辅助信息!A:B,2,FALSE)</f>
        <v>螺纹钢</v>
      </c>
      <c r="F3647" s="40" t="s">
        <v>65</v>
      </c>
      <c r="G3647" s="36">
        <v>3</v>
      </c>
      <c r="H3647" s="134">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09"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1">
        <v>45923</v>
      </c>
      <c r="O3647" s="62">
        <f ca="1" t="shared" si="196"/>
        <v>0</v>
      </c>
      <c r="P3647" s="62">
        <f ca="1" t="shared" si="197"/>
        <v>37</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0">
        <v>45922</v>
      </c>
      <c r="D3648" s="40" t="str">
        <f>VLOOKUP(B3648,辅助信息!E:K,7,FALSE)</f>
        <v>JWDDCD2025102100473</v>
      </c>
      <c r="E3648" s="40" t="str">
        <f>VLOOKUP(F3648,辅助信息!A:B,2,FALSE)</f>
        <v>螺纹钢</v>
      </c>
      <c r="F3648" s="40" t="s">
        <v>27</v>
      </c>
      <c r="G3648" s="36">
        <v>21</v>
      </c>
      <c r="H3648" s="134"/>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09"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1">
        <v>45925</v>
      </c>
      <c r="O3648" s="62">
        <f ca="1" t="shared" si="196"/>
        <v>0</v>
      </c>
      <c r="P3648" s="62">
        <f ca="1" t="shared" si="197"/>
        <v>35</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0">
        <v>45922</v>
      </c>
      <c r="D3649" s="40" t="str">
        <f>VLOOKUP(B3649,辅助信息!E:K,7,FALSE)</f>
        <v>JWDDCD2025102100473</v>
      </c>
      <c r="E3649" s="40" t="str">
        <f>VLOOKUP(F3649,辅助信息!A:B,2,FALSE)</f>
        <v>螺纹钢</v>
      </c>
      <c r="F3649" s="40" t="s">
        <v>19</v>
      </c>
      <c r="G3649" s="36">
        <v>27</v>
      </c>
      <c r="H3649" s="134"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09"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1">
        <v>45925</v>
      </c>
      <c r="O3649" s="62">
        <f ca="1" t="shared" si="196"/>
        <v>0</v>
      </c>
      <c r="P3649" s="62">
        <f ca="1" t="shared" si="197"/>
        <v>35</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0">
        <v>45922</v>
      </c>
      <c r="D3650" s="40" t="str">
        <f>VLOOKUP(B3650,辅助信息!E:K,7,FALSE)</f>
        <v>JWDDCD2025102100473</v>
      </c>
      <c r="E3650" s="40" t="str">
        <f>VLOOKUP(F3650,辅助信息!A:B,2,FALSE)</f>
        <v>螺纹钢</v>
      </c>
      <c r="F3650" s="40" t="s">
        <v>32</v>
      </c>
      <c r="G3650" s="36">
        <v>27</v>
      </c>
      <c r="H3650" s="134"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09"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1">
        <v>45925</v>
      </c>
      <c r="O3650" s="62">
        <f ca="1" t="shared" si="196"/>
        <v>0</v>
      </c>
      <c r="P3650" s="62">
        <f ca="1" t="shared" si="197"/>
        <v>35</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0">
        <v>45922</v>
      </c>
      <c r="D3651" s="40" t="str">
        <f>VLOOKUP(B3651,辅助信息!E:K,7,FALSE)</f>
        <v>JWDDCD2025102100473</v>
      </c>
      <c r="E3651" s="40" t="str">
        <f>VLOOKUP(F3651,辅助信息!A:B,2,FALSE)</f>
        <v>螺纹钢</v>
      </c>
      <c r="F3651" s="40" t="s">
        <v>33</v>
      </c>
      <c r="G3651" s="36">
        <v>6</v>
      </c>
      <c r="H3651" s="134"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09"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1">
        <v>45925</v>
      </c>
      <c r="O3651" s="62">
        <f ca="1" t="shared" si="196"/>
        <v>0</v>
      </c>
      <c r="P3651" s="62">
        <f ca="1" t="shared" si="197"/>
        <v>35</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0">
        <v>45922</v>
      </c>
      <c r="D3652" s="40" t="str">
        <f>VLOOKUP(B3652,辅助信息!E:K,7,FALSE)</f>
        <v>JWDDCD2025102100473</v>
      </c>
      <c r="E3652" s="40" t="str">
        <f>VLOOKUP(F3652,辅助信息!A:B,2,FALSE)</f>
        <v>螺纹钢</v>
      </c>
      <c r="F3652" s="40" t="s">
        <v>28</v>
      </c>
      <c r="G3652" s="36">
        <v>12</v>
      </c>
      <c r="H3652" s="134"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09"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1">
        <v>45925</v>
      </c>
      <c r="O3652" s="62">
        <f ca="1" t="shared" si="196"/>
        <v>0</v>
      </c>
      <c r="P3652" s="62">
        <f ca="1" t="shared" si="197"/>
        <v>35</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0">
        <v>45922</v>
      </c>
      <c r="D3653" s="40" t="str">
        <f>VLOOKUP(B3653,辅助信息!E:K,7,FALSE)</f>
        <v>JWDDCD2025102100473</v>
      </c>
      <c r="E3653" s="40" t="str">
        <f>VLOOKUP(F3653,辅助信息!A:B,2,FALSE)</f>
        <v>螺纹钢</v>
      </c>
      <c r="F3653" s="40" t="s">
        <v>18</v>
      </c>
      <c r="G3653" s="36">
        <v>12</v>
      </c>
      <c r="H3653" s="134"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09"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1">
        <v>45925</v>
      </c>
      <c r="O3653" s="62">
        <f ca="1" t="shared" si="196"/>
        <v>0</v>
      </c>
      <c r="P3653" s="62">
        <f ca="1" t="shared" si="197"/>
        <v>35</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0">
        <v>45922</v>
      </c>
      <c r="D3654" s="40" t="str">
        <f>VLOOKUP(B3654,辅助信息!E:K,7,FALSE)</f>
        <v>JWDDCD2025072900121</v>
      </c>
      <c r="E3654" s="40" t="str">
        <f>VLOOKUP(F3654,辅助信息!A:B,2,FALSE)</f>
        <v>盘螺</v>
      </c>
      <c r="F3654" s="40" t="s">
        <v>40</v>
      </c>
      <c r="G3654" s="36">
        <v>16</v>
      </c>
      <c r="H3654" s="134"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09" t="str">
        <f>VLOOKUP(B3654,辅助信息!E:J,6,FALSE)</f>
        <v>联系实际收货人（范增云13668153241）现场要求炉批号控制2个以下，超2个不给予签收。提前联系到场规格及数量</v>
      </c>
      <c r="O3654" s="62" t="str">
        <f ca="1" t="shared" si="196"/>
        <v/>
      </c>
      <c r="P3654" s="62"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0">
        <v>45922</v>
      </c>
      <c r="D3655" s="40" t="str">
        <f>VLOOKUP(B3655,辅助信息!E:K,7,FALSE)</f>
        <v>JWDDCD2025072900121</v>
      </c>
      <c r="E3655" s="40" t="str">
        <f>VLOOKUP(F3655,辅助信息!A:B,2,FALSE)</f>
        <v>盘螺</v>
      </c>
      <c r="F3655" s="40" t="s">
        <v>41</v>
      </c>
      <c r="G3655" s="36">
        <v>6</v>
      </c>
      <c r="H3655" s="134"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09" t="str">
        <f>VLOOKUP(B3655,辅助信息!E:J,6,FALSE)</f>
        <v>联系实际收货人（范增云13668153241）现场要求炉批号控制2个以下，超2个不给予签收。提前联系到场规格及数量</v>
      </c>
      <c r="O3655" s="62" t="str">
        <f ca="1" t="shared" si="196"/>
        <v/>
      </c>
      <c r="P3655" s="62"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0">
        <v>45922</v>
      </c>
      <c r="D3656" s="40" t="str">
        <f>VLOOKUP(B3656,辅助信息!E:K,7,FALSE)</f>
        <v>JWDDCD2025072900121</v>
      </c>
      <c r="E3656" s="40" t="str">
        <f>VLOOKUP(F3656,辅助信息!A:B,2,FALSE)</f>
        <v>螺纹钢</v>
      </c>
      <c r="F3656" s="40" t="s">
        <v>66</v>
      </c>
      <c r="G3656" s="36">
        <v>8</v>
      </c>
      <c r="H3656" s="134"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09" t="str">
        <f>VLOOKUP(B3656,辅助信息!E:J,6,FALSE)</f>
        <v>联系实际收货人（范增云13668153241）现场要求炉批号控制2个以下，超2个不给予签收。提前联系到场规格及数量</v>
      </c>
      <c r="O3656" s="62" t="str">
        <f ca="1" t="shared" si="196"/>
        <v/>
      </c>
      <c r="P3656" s="62"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0">
        <v>45922</v>
      </c>
      <c r="D3657" s="40" t="str">
        <f>VLOOKUP(B3657,辅助信息!E:K,7,FALSE)</f>
        <v>JWDDCD2025072900121</v>
      </c>
      <c r="E3657" s="40" t="str">
        <f>VLOOKUP(F3657,辅助信息!A:B,2,FALSE)</f>
        <v>螺纹钢</v>
      </c>
      <c r="F3657" s="40" t="s">
        <v>82</v>
      </c>
      <c r="G3657" s="36">
        <v>5</v>
      </c>
      <c r="H3657" s="134"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09" t="str">
        <f>VLOOKUP(B3657,辅助信息!E:J,6,FALSE)</f>
        <v>联系实际收货人（范增云13668153241）现场要求炉批号控制2个以下，超2个不给予签收。提前联系到场规格及数量</v>
      </c>
      <c r="O3657" s="62" t="str">
        <f ca="1" t="shared" si="196"/>
        <v/>
      </c>
      <c r="P3657" s="62"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0">
        <v>45922</v>
      </c>
      <c r="D3658" s="40" t="str">
        <f>VLOOKUP(B3658,辅助信息!E:K,7,FALSE)</f>
        <v>JWDDCD2025072900121</v>
      </c>
      <c r="E3658" s="40" t="str">
        <f>VLOOKUP(F3658,辅助信息!A:B,2,FALSE)</f>
        <v>螺纹钢</v>
      </c>
      <c r="F3658" s="40" t="s">
        <v>22</v>
      </c>
      <c r="G3658" s="36">
        <v>10</v>
      </c>
      <c r="H3658" s="134"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09" t="str">
        <f>VLOOKUP(B3658,辅助信息!E:J,6,FALSE)</f>
        <v>联系实际收货人（范增云13668153241）现场要求炉批号控制2个以下，超2个不给予签收。提前联系到场规格及数量</v>
      </c>
      <c r="O3658" s="62" t="str">
        <f ca="1" t="shared" si="196"/>
        <v/>
      </c>
      <c r="P3658" s="62"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0">
        <v>45922</v>
      </c>
      <c r="D3659" s="40" t="str">
        <f>VLOOKUP(B3659,辅助信息!E:K,7,FALSE)</f>
        <v>JWDDCD2025072900121</v>
      </c>
      <c r="E3659" s="40" t="str">
        <f>VLOOKUP(F3659,辅助信息!A:B,2,FALSE)</f>
        <v>螺纹钢</v>
      </c>
      <c r="F3659" s="40" t="s">
        <v>141</v>
      </c>
      <c r="G3659" s="36">
        <v>5</v>
      </c>
      <c r="H3659" s="134"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09" t="str">
        <f>VLOOKUP(B3659,辅助信息!E:J,6,FALSE)</f>
        <v>联系实际收货人（范增云13668153241）现场要求炉批号控制2个以下，超2个不给予签收。提前联系到场规格及数量</v>
      </c>
      <c r="O3659" s="62" t="str">
        <f ca="1" t="shared" si="196"/>
        <v/>
      </c>
      <c r="P3659" s="62"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0">
        <v>45922</v>
      </c>
      <c r="D3660" s="40" t="str">
        <f>VLOOKUP(B3660,辅助信息!E:K,7,FALSE)</f>
        <v>JWDDCD2025072900121</v>
      </c>
      <c r="E3660" s="40" t="str">
        <f>VLOOKUP(F3660,辅助信息!A:B,2,FALSE)</f>
        <v>螺纹钢</v>
      </c>
      <c r="F3660" s="40" t="s">
        <v>142</v>
      </c>
      <c r="G3660" s="36">
        <v>12</v>
      </c>
      <c r="H3660" s="134"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09" t="str">
        <f>VLOOKUP(B3660,辅助信息!E:J,6,FALSE)</f>
        <v>联系实际收货人（范增云13668153241）现场要求炉批号控制2个以下，超2个不给予签收。提前联系到场规格及数量</v>
      </c>
      <c r="O3660" s="62" t="str">
        <f ca="1" t="shared" si="196"/>
        <v/>
      </c>
      <c r="P3660" s="62"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0">
        <v>45922</v>
      </c>
      <c r="D3661" s="40" t="str">
        <f>VLOOKUP(B3661,辅助信息!E:K,7,FALSE)</f>
        <v>JWDDCD2025072900121</v>
      </c>
      <c r="E3661" s="40" t="str">
        <f>VLOOKUP(F3661,辅助信息!A:B,2,FALSE)</f>
        <v>螺纹钢</v>
      </c>
      <c r="F3661" s="40" t="s">
        <v>200</v>
      </c>
      <c r="G3661" s="36">
        <v>8</v>
      </c>
      <c r="H3661" s="134"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09" t="str">
        <f>VLOOKUP(B3661,辅助信息!E:J,6,FALSE)</f>
        <v>联系实际收货人（范增云13668153241）现场要求炉批号控制2个以下，超2个不给予签收。提前联系到场规格及数量</v>
      </c>
      <c r="O3661" s="62" t="str">
        <f ca="1" t="shared" si="196"/>
        <v/>
      </c>
      <c r="P3661" s="62"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0" t="s">
        <v>81</v>
      </c>
      <c r="C3662" s="70">
        <v>45923</v>
      </c>
      <c r="D3662" s="120" t="str">
        <f>VLOOKUP(B3662,辅助信息!E:K,7,FALSE)</f>
        <v>JWDDCD2025060900080</v>
      </c>
      <c r="E3662" s="120" t="str">
        <f>VLOOKUP(F3662,辅助信息!A:B,2,FALSE)</f>
        <v>盘螺</v>
      </c>
      <c r="F3662" s="120" t="s">
        <v>40</v>
      </c>
      <c r="G3662" s="121">
        <v>65</v>
      </c>
      <c r="H3662" s="134">
        <f>IF(SUMIFS('[1]2025年已发货'!$E:$E,'[1]2025年已发货'!$F:$F,C3662,'[1]2025年已发货'!$C:$C,F3662,'[1]2025年已发货'!$G:$G,I3662,'[1]2025年已发货'!$H:$H,J3662)=0,"未发货",SUMIFS('[1]2025年已发货'!$E:$E,'[1]2025年已发货'!$F:$F,C3662,'[1]2025年已发货'!$C:$C,F3662,'[1]2025年已发货'!$G:$G,I3662,'[1]2025年已发货'!$H:$H,J3662))</f>
        <v>40</v>
      </c>
      <c r="I3662" s="120" t="str">
        <f>VLOOKUP(B3662,辅助信息!E:I,3,FALSE)</f>
        <v>（华西简阳西城嘉苑）四川省成都市简阳市简城街道高屋村</v>
      </c>
      <c r="J3662" s="120" t="str">
        <f>VLOOKUP(B3662,辅助信息!E:I,4,FALSE)</f>
        <v>张瀚镭</v>
      </c>
      <c r="K3662" s="120">
        <f>VLOOKUP(J3662,辅助信息!H:I,2,FALSE)</f>
        <v>15884666220</v>
      </c>
      <c r="L3662" s="122" t="str">
        <f>VLOOKUP(B3662,辅助信息!E:J,6,FALSE)</f>
        <v>现场禁止使用氢能源挂车！优先威钢发货,我方卸车,新老国标钢厂不加价可直发，因陕钢多次出现磅差，项目拒绝使用</v>
      </c>
      <c r="M3662" s="91">
        <v>45921</v>
      </c>
      <c r="O3662" s="62">
        <f ca="1" t="shared" si="196"/>
        <v>0</v>
      </c>
      <c r="P3662" s="62">
        <f ca="1" t="shared" si="197"/>
        <v>39</v>
      </c>
      <c r="Q3662" s="29" t="str">
        <f>VLOOKUP(B3662,辅助信息!E:M,9,FALSE)</f>
        <v>ZTWM-CDGS-XS-2024-0030-华西集采-简州大道</v>
      </c>
      <c r="R3662" s="29" t="str">
        <f>_xlfn._xlws.FILTER(辅助信息!D:D,辅助信息!E:E=B3662)</f>
        <v>华西简阳西城嘉苑</v>
      </c>
    </row>
    <row r="3663" hidden="1" spans="2:18">
      <c r="B3663" s="120" t="s">
        <v>81</v>
      </c>
      <c r="C3663" s="70">
        <v>45923</v>
      </c>
      <c r="D3663" s="120" t="str">
        <f>VLOOKUP(B3663,辅助信息!E:K,7,FALSE)</f>
        <v>JWDDCD2025060900080</v>
      </c>
      <c r="E3663" s="120" t="str">
        <f>VLOOKUP(F3663,辅助信息!A:B,2,FALSE)</f>
        <v>盘螺</v>
      </c>
      <c r="F3663" s="120" t="s">
        <v>41</v>
      </c>
      <c r="G3663" s="121">
        <v>30</v>
      </c>
      <c r="H3663" s="134">
        <f>IF(SUMIFS('[1]2025年已发货'!$E:$E,'[1]2025年已发货'!$F:$F,C3663,'[1]2025年已发货'!$C:$C,F3663,'[1]2025年已发货'!$G:$G,I3663,'[1]2025年已发货'!$H:$H,J3663)=0,"未发货",SUMIFS('[1]2025年已发货'!$E:$E,'[1]2025年已发货'!$F:$F,C3663,'[1]2025年已发货'!$C:$C,F3663,'[1]2025年已发货'!$G:$G,I3663,'[1]2025年已发货'!$H:$H,J3663))</f>
        <v>30</v>
      </c>
      <c r="I3663" s="120" t="str">
        <f>VLOOKUP(B3663,辅助信息!E:I,3,FALSE)</f>
        <v>（华西简阳西城嘉苑）四川省成都市简阳市简城街道高屋村</v>
      </c>
      <c r="J3663" s="120" t="str">
        <f>VLOOKUP(B3663,辅助信息!E:I,4,FALSE)</f>
        <v>张瀚镭</v>
      </c>
      <c r="K3663" s="120">
        <f>VLOOKUP(J3663,辅助信息!H:I,2,FALSE)</f>
        <v>15884666220</v>
      </c>
      <c r="L3663" s="122" t="str">
        <f>VLOOKUP(B3663,辅助信息!E:J,6,FALSE)</f>
        <v>现场禁止使用氢能源挂车！优先威钢发货,我方卸车,新老国标钢厂不加价可直发，因陕钢多次出现磅差，项目拒绝使用</v>
      </c>
      <c r="M3663" s="91">
        <v>45921</v>
      </c>
      <c r="O3663" s="62">
        <f ca="1" t="shared" si="196"/>
        <v>0</v>
      </c>
      <c r="P3663" s="62">
        <f ca="1" t="shared" si="197"/>
        <v>39</v>
      </c>
      <c r="Q3663" s="29" t="str">
        <f>VLOOKUP(B3663,辅助信息!E:M,9,FALSE)</f>
        <v>ZTWM-CDGS-XS-2024-0030-华西集采-简州大道</v>
      </c>
      <c r="R3663" s="29" t="str">
        <f>_xlfn._xlws.FILTER(辅助信息!D:D,辅助信息!E:E=B3663)</f>
        <v>华西简阳西城嘉苑</v>
      </c>
    </row>
    <row r="3664" hidden="1" spans="2:18">
      <c r="B3664" s="120" t="s">
        <v>169</v>
      </c>
      <c r="C3664" s="70">
        <v>45923</v>
      </c>
      <c r="D3664" s="120" t="str">
        <f>VLOOKUP(B3664,辅助信息!E:K,7,FALSE)</f>
        <v>JWDDCD2025051800044</v>
      </c>
      <c r="E3664" s="120" t="str">
        <f>VLOOKUP(F3664,辅助信息!A:B,2,FALSE)</f>
        <v>螺纹钢</v>
      </c>
      <c r="F3664" s="120" t="s">
        <v>28</v>
      </c>
      <c r="G3664" s="121">
        <v>70</v>
      </c>
      <c r="H3664" s="134">
        <f>IF(SUMIFS('[1]2025年已发货'!$E:$E,'[1]2025年已发货'!$F:$F,C3664,'[1]2025年已发货'!$C:$C,F3664,'[1]2025年已发货'!$G:$G,I3664,'[1]2025年已发货'!$H:$H,J3664)=0,"未发货",SUMIFS('[1]2025年已发货'!$E:$E,'[1]2025年已发货'!$F:$F,C3664,'[1]2025年已发货'!$C:$C,F3664,'[1]2025年已发货'!$G:$G,I3664,'[1]2025年已发货'!$H:$H,J3664))</f>
        <v>70</v>
      </c>
      <c r="I3664" s="120" t="str">
        <f>VLOOKUP(B3664,辅助信息!E:I,3,FALSE)</f>
        <v>(五冶建设龙泉芙蓉花语项目-1,3地块)龙泉驿区北川路双堰塘钓鱼东100米(北川路)</v>
      </c>
      <c r="J3664" s="120" t="str">
        <f>VLOOKUP(B3664,辅助信息!E:I,4,FALSE)</f>
        <v>祝斯阳</v>
      </c>
      <c r="K3664" s="120">
        <f>VLOOKUP(J3664,辅助信息!H:I,2,FALSE)</f>
        <v>15583590797</v>
      </c>
      <c r="L3664" s="122"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1">
        <v>45922</v>
      </c>
      <c r="O3664" s="62">
        <f ca="1" t="shared" si="196"/>
        <v>0</v>
      </c>
      <c r="P3664" s="62">
        <f ca="1" t="shared" si="197"/>
        <v>38</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0" t="s">
        <v>186</v>
      </c>
      <c r="C3665" s="70">
        <v>45923</v>
      </c>
      <c r="D3665" s="120" t="str">
        <f>VLOOKUP(B3665,辅助信息!E:K,7,FALSE)</f>
        <v>JWDDCD2025072900123</v>
      </c>
      <c r="E3665" s="120" t="str">
        <f>VLOOKUP(F3665,辅助信息!A:B,2,FALSE)</f>
        <v>螺纹钢</v>
      </c>
      <c r="F3665" s="120" t="s">
        <v>90</v>
      </c>
      <c r="G3665" s="121">
        <v>20</v>
      </c>
      <c r="H3665" s="134">
        <f>IF(SUMIFS('[1]2025年已发货'!$E:$E,'[1]2025年已发货'!$F:$F,C3665,'[1]2025年已发货'!$C:$C,F3665,'[1]2025年已发货'!$G:$G,I3665,'[1]2025年已发货'!$H:$H,J3665)=0,"未发货",SUMIFS('[1]2025年已发货'!$E:$E,'[1]2025年已发货'!$F:$F,C3665,'[1]2025年已发货'!$C:$C,F3665,'[1]2025年已发货'!$G:$G,I3665,'[1]2025年已发货'!$H:$H,J3665))</f>
        <v>20</v>
      </c>
      <c r="I3665" s="120" t="str">
        <f>VLOOKUP(B3665,辅助信息!E:I,3,FALSE)</f>
        <v>(乐山市校地共建产教融合基地建设项目二标段)四川省乐山市市中区苏稽镇</v>
      </c>
      <c r="J3665" s="120" t="str">
        <f>VLOOKUP(B3665,辅助信息!E:I,4,FALSE)</f>
        <v>彭江涛</v>
      </c>
      <c r="K3665" s="120">
        <f>VLOOKUP(J3665,辅助信息!H:I,2,FALSE)</f>
        <v>13990276572</v>
      </c>
      <c r="L3665" s="122" t="str">
        <f>VLOOKUP(B3665,辅助信息!E:J,6,FALSE)</f>
        <v>联系实际收货人（彭江涛13990276572）现场要求炉批号控制2个以下，超2个不给予签收。提前联系到场规格及数量</v>
      </c>
      <c r="M3665" s="91">
        <v>45922</v>
      </c>
      <c r="O3665" s="62">
        <f ca="1" t="shared" si="196"/>
        <v>0</v>
      </c>
      <c r="P3665" s="62">
        <f ca="1" t="shared" si="197"/>
        <v>38</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0" t="s">
        <v>186</v>
      </c>
      <c r="C3666" s="70">
        <v>45923</v>
      </c>
      <c r="D3666" s="120" t="str">
        <f>VLOOKUP(B3666,辅助信息!E:K,7,FALSE)</f>
        <v>JWDDCD2025072900123</v>
      </c>
      <c r="E3666" s="120" t="str">
        <f>VLOOKUP(F3666,辅助信息!A:B,2,FALSE)</f>
        <v>螺纹钢</v>
      </c>
      <c r="F3666" s="120" t="s">
        <v>142</v>
      </c>
      <c r="G3666" s="121">
        <v>14</v>
      </c>
      <c r="H3666" s="134">
        <f>IF(SUMIFS('[1]2025年已发货'!$E:$E,'[1]2025年已发货'!$F:$F,C3666,'[1]2025年已发货'!$C:$C,F3666,'[1]2025年已发货'!$G:$G,I3666,'[1]2025年已发货'!$H:$H,J3666)=0,"未发货",SUMIFS('[1]2025年已发货'!$E:$E,'[1]2025年已发货'!$F:$F,C3666,'[1]2025年已发货'!$C:$C,F3666,'[1]2025年已发货'!$G:$G,I3666,'[1]2025年已发货'!$H:$H,J3666))</f>
        <v>14</v>
      </c>
      <c r="I3666" s="120" t="str">
        <f>VLOOKUP(B3666,辅助信息!E:I,3,FALSE)</f>
        <v>(乐山市校地共建产教融合基地建设项目二标段)四川省乐山市市中区苏稽镇</v>
      </c>
      <c r="J3666" s="120" t="str">
        <f>VLOOKUP(B3666,辅助信息!E:I,4,FALSE)</f>
        <v>彭江涛</v>
      </c>
      <c r="K3666" s="120">
        <f>VLOOKUP(J3666,辅助信息!H:I,2,FALSE)</f>
        <v>13990276572</v>
      </c>
      <c r="L3666" s="122" t="str">
        <f>VLOOKUP(B3666,辅助信息!E:J,6,FALSE)</f>
        <v>联系实际收货人（彭江涛13990276572）现场要求炉批号控制2个以下，超2个不给予签收。提前联系到场规格及数量</v>
      </c>
      <c r="M3666" s="91">
        <v>45922</v>
      </c>
      <c r="O3666" s="62">
        <f ca="1" t="shared" si="196"/>
        <v>0</v>
      </c>
      <c r="P3666" s="62">
        <f ca="1" t="shared" si="197"/>
        <v>38</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0" t="s">
        <v>163</v>
      </c>
      <c r="C3667" s="70">
        <v>45923</v>
      </c>
      <c r="D3667" s="120" t="str">
        <f>VLOOKUP(B3667,辅助信息!E:K,7,FALSE)</f>
        <v>JWDDCD2025052800131</v>
      </c>
      <c r="E3667" s="120" t="str">
        <f>VLOOKUP(F3667,辅助信息!A:B,2,FALSE)</f>
        <v>盘螺</v>
      </c>
      <c r="F3667" s="120" t="s">
        <v>49</v>
      </c>
      <c r="G3667" s="121">
        <v>6</v>
      </c>
      <c r="H3667" s="134"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0" t="str">
        <f>VLOOKUP(B3667,辅助信息!E:I,3,FALSE)</f>
        <v>（商投建工达州中医药科技园-4工区-9号楼）达州市通川区达州中医药职业学院犀牛大道北段</v>
      </c>
      <c r="J3667" s="120" t="str">
        <f>VLOOKUP(B3667,辅助信息!E:I,4,FALSE)</f>
        <v>张扬</v>
      </c>
      <c r="K3667" s="120">
        <f>VLOOKUP(J3667,辅助信息!H:I,2,FALSE)</f>
        <v>18381904567</v>
      </c>
      <c r="L3667" s="122" t="str">
        <f>VLOOKUP(B3667,辅助信息!E:J,6,FALSE)</f>
        <v>控制炉批号！多了现场不收！,优先安排达钢,提前联系到场规格及数量</v>
      </c>
      <c r="M3667" s="91"/>
      <c r="O3667" s="62" t="str">
        <f ca="1" t="shared" si="196"/>
        <v/>
      </c>
      <c r="P3667" s="62"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0" t="s">
        <v>163</v>
      </c>
      <c r="C3668" s="70">
        <v>45923</v>
      </c>
      <c r="D3668" s="120" t="str">
        <f>VLOOKUP(B3668,辅助信息!E:K,7,FALSE)</f>
        <v>JWDDCD2025052800131</v>
      </c>
      <c r="E3668" s="120" t="str">
        <f>VLOOKUP(F3668,辅助信息!A:B,2,FALSE)</f>
        <v>盘螺</v>
      </c>
      <c r="F3668" s="120" t="s">
        <v>40</v>
      </c>
      <c r="G3668" s="121">
        <f>47-26</f>
        <v>21</v>
      </c>
      <c r="H3668" s="134"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0" t="str">
        <f>VLOOKUP(B3668,辅助信息!E:I,3,FALSE)</f>
        <v>（商投建工达州中医药科技园-4工区-9号楼）达州市通川区达州中医药职业学院犀牛大道北段</v>
      </c>
      <c r="J3668" s="120" t="str">
        <f>VLOOKUP(B3668,辅助信息!E:I,4,FALSE)</f>
        <v>张扬</v>
      </c>
      <c r="K3668" s="120">
        <f>VLOOKUP(J3668,辅助信息!H:I,2,FALSE)</f>
        <v>18381904567</v>
      </c>
      <c r="L3668" s="122" t="str">
        <f>VLOOKUP(B3668,辅助信息!E:J,6,FALSE)</f>
        <v>控制炉批号！多了现场不收！,优先安排达钢,提前联系到场规格及数量</v>
      </c>
      <c r="M3668" s="91">
        <v>45922</v>
      </c>
      <c r="O3668" s="62">
        <f ca="1" t="shared" si="196"/>
        <v>0</v>
      </c>
      <c r="P3668" s="62">
        <f ca="1" t="shared" si="197"/>
        <v>38</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0" t="s">
        <v>163</v>
      </c>
      <c r="C3669" s="70">
        <v>45923</v>
      </c>
      <c r="D3669" s="120" t="str">
        <f>VLOOKUP(B3669,辅助信息!E:K,7,FALSE)</f>
        <v>JWDDCD2025052800131</v>
      </c>
      <c r="E3669" s="120" t="str">
        <f>VLOOKUP(F3669,辅助信息!A:B,2,FALSE)</f>
        <v>盘螺</v>
      </c>
      <c r="F3669" s="120" t="s">
        <v>41</v>
      </c>
      <c r="G3669" s="121">
        <v>10</v>
      </c>
      <c r="H3669" s="134"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0" t="str">
        <f>VLOOKUP(B3669,辅助信息!E:I,3,FALSE)</f>
        <v>（商投建工达州中医药科技园-4工区-9号楼）达州市通川区达州中医药职业学院犀牛大道北段</v>
      </c>
      <c r="J3669" s="120" t="str">
        <f>VLOOKUP(B3669,辅助信息!E:I,4,FALSE)</f>
        <v>张扬</v>
      </c>
      <c r="K3669" s="120">
        <f>VLOOKUP(J3669,辅助信息!H:I,2,FALSE)</f>
        <v>18381904567</v>
      </c>
      <c r="L3669" s="122" t="str">
        <f>VLOOKUP(B3669,辅助信息!E:J,6,FALSE)</f>
        <v>控制炉批号！多了现场不收！,优先安排达钢,提前联系到场规格及数量</v>
      </c>
      <c r="M3669" s="91">
        <v>45922</v>
      </c>
      <c r="O3669" s="62">
        <f ca="1" t="shared" si="196"/>
        <v>0</v>
      </c>
      <c r="P3669" s="62">
        <f ca="1" t="shared" si="197"/>
        <v>38</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0" t="s">
        <v>163</v>
      </c>
      <c r="C3670" s="70">
        <v>45923</v>
      </c>
      <c r="D3670" s="120" t="str">
        <f>VLOOKUP(B3670,辅助信息!E:K,7,FALSE)</f>
        <v>JWDDCD2025052800131</v>
      </c>
      <c r="E3670" s="120" t="str">
        <f>VLOOKUP(F3670,辅助信息!A:B,2,FALSE)</f>
        <v>螺纹钢</v>
      </c>
      <c r="F3670" s="120" t="s">
        <v>58</v>
      </c>
      <c r="G3670" s="121">
        <v>15</v>
      </c>
      <c r="H3670" s="134"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0" t="str">
        <f>VLOOKUP(B3670,辅助信息!E:I,3,FALSE)</f>
        <v>（商投建工达州中医药科技园-4工区-9号楼）达州市通川区达州中医药职业学院犀牛大道北段</v>
      </c>
      <c r="J3670" s="120" t="str">
        <f>VLOOKUP(B3670,辅助信息!E:I,4,FALSE)</f>
        <v>张扬</v>
      </c>
      <c r="K3670" s="120">
        <f>VLOOKUP(J3670,辅助信息!H:I,2,FALSE)</f>
        <v>18381904567</v>
      </c>
      <c r="L3670" s="122" t="str">
        <f>VLOOKUP(B3670,辅助信息!E:J,6,FALSE)</f>
        <v>控制炉批号！多了现场不收！,优先安排达钢,提前联系到场规格及数量</v>
      </c>
      <c r="M3670" s="91"/>
      <c r="O3670" s="62" t="str">
        <f ca="1" t="shared" si="196"/>
        <v/>
      </c>
      <c r="P3670" s="62"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0" t="s">
        <v>163</v>
      </c>
      <c r="C3671" s="70">
        <v>45923</v>
      </c>
      <c r="D3671" s="120" t="str">
        <f>VLOOKUP(B3671,辅助信息!E:K,7,FALSE)</f>
        <v>JWDDCD2025052800131</v>
      </c>
      <c r="E3671" s="120" t="str">
        <f>VLOOKUP(F3671,辅助信息!A:B,2,FALSE)</f>
        <v>螺纹钢</v>
      </c>
      <c r="F3671" s="120" t="s">
        <v>46</v>
      </c>
      <c r="G3671" s="121">
        <v>9</v>
      </c>
      <c r="H3671" s="134"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0" t="str">
        <f>VLOOKUP(B3671,辅助信息!E:I,3,FALSE)</f>
        <v>（商投建工达州中医药科技园-4工区-9号楼）达州市通川区达州中医药职业学院犀牛大道北段</v>
      </c>
      <c r="J3671" s="120" t="str">
        <f>VLOOKUP(B3671,辅助信息!E:I,4,FALSE)</f>
        <v>张扬</v>
      </c>
      <c r="K3671" s="120">
        <f>VLOOKUP(J3671,辅助信息!H:I,2,FALSE)</f>
        <v>18381904567</v>
      </c>
      <c r="L3671" s="122" t="str">
        <f>VLOOKUP(B3671,辅助信息!E:J,6,FALSE)</f>
        <v>控制炉批号！多了现场不收！,优先安排达钢,提前联系到场规格及数量</v>
      </c>
      <c r="M3671" s="91"/>
      <c r="O3671" s="62" t="str">
        <f ca="1" t="shared" si="196"/>
        <v/>
      </c>
      <c r="P3671" s="62"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0" t="s">
        <v>163</v>
      </c>
      <c r="C3672" s="70">
        <v>45923</v>
      </c>
      <c r="D3672" s="120" t="str">
        <f>VLOOKUP(B3672,辅助信息!E:K,7,FALSE)</f>
        <v>JWDDCD2025052800131</v>
      </c>
      <c r="E3672" s="120" t="str">
        <f>VLOOKUP(F3672,辅助信息!A:B,2,FALSE)</f>
        <v>螺纹钢</v>
      </c>
      <c r="F3672" s="120" t="s">
        <v>22</v>
      </c>
      <c r="G3672" s="121">
        <v>15</v>
      </c>
      <c r="H3672" s="134"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0" t="str">
        <f>VLOOKUP(B3672,辅助信息!E:I,3,FALSE)</f>
        <v>（商投建工达州中医药科技园-4工区-9号楼）达州市通川区达州中医药职业学院犀牛大道北段</v>
      </c>
      <c r="J3672" s="120" t="str">
        <f>VLOOKUP(B3672,辅助信息!E:I,4,FALSE)</f>
        <v>张扬</v>
      </c>
      <c r="K3672" s="120">
        <f>VLOOKUP(J3672,辅助信息!H:I,2,FALSE)</f>
        <v>18381904567</v>
      </c>
      <c r="L3672" s="122" t="str">
        <f>VLOOKUP(B3672,辅助信息!E:J,6,FALSE)</f>
        <v>控制炉批号！多了现场不收！,优先安排达钢,提前联系到场规格及数量</v>
      </c>
      <c r="M3672" s="91"/>
      <c r="O3672" s="62" t="str">
        <f ca="1" t="shared" si="196"/>
        <v/>
      </c>
      <c r="P3672" s="62"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0" t="s">
        <v>112</v>
      </c>
      <c r="C3673" s="70">
        <v>45923</v>
      </c>
      <c r="D3673" s="120" t="str">
        <f>VLOOKUP(B3673,辅助信息!E:K,7,FALSE)</f>
        <v>JWDDCD2025052800131</v>
      </c>
      <c r="E3673" s="120" t="str">
        <f>VLOOKUP(F3673,辅助信息!A:B,2,FALSE)</f>
        <v>盘螺</v>
      </c>
      <c r="F3673" s="120" t="s">
        <v>40</v>
      </c>
      <c r="G3673" s="121">
        <v>15</v>
      </c>
      <c r="H3673" s="134"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0" t="str">
        <f>VLOOKUP(B3673,辅助信息!E:I,3,FALSE)</f>
        <v>（商投建工达州中医药科技园-4工区-10号楼）达州市通川区达州中医药职业学院犀牛大道北段</v>
      </c>
      <c r="J3673" s="120" t="str">
        <f>VLOOKUP(B3673,辅助信息!E:I,4,FALSE)</f>
        <v>张扬</v>
      </c>
      <c r="K3673" s="120">
        <f>VLOOKUP(J3673,辅助信息!H:I,2,FALSE)</f>
        <v>18381904567</v>
      </c>
      <c r="L3673" s="122" t="str">
        <f>VLOOKUP(B3673,辅助信息!E:J,6,FALSE)</f>
        <v>控制炉批号！多了现场不收！,优先安排达钢,提前联系到场规格及数量</v>
      </c>
      <c r="M3673" s="91"/>
      <c r="O3673" s="62" t="str">
        <f ca="1" t="shared" si="196"/>
        <v/>
      </c>
      <c r="P3673" s="62"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0" t="s">
        <v>112</v>
      </c>
      <c r="C3674" s="70">
        <v>45923</v>
      </c>
      <c r="D3674" s="120" t="str">
        <f>VLOOKUP(B3674,辅助信息!E:K,7,FALSE)</f>
        <v>JWDDCD2025052800131</v>
      </c>
      <c r="E3674" s="120" t="str">
        <f>VLOOKUP(F3674,辅助信息!A:B,2,FALSE)</f>
        <v>盘螺</v>
      </c>
      <c r="F3674" s="120" t="s">
        <v>41</v>
      </c>
      <c r="G3674" s="121">
        <v>6</v>
      </c>
      <c r="H3674" s="134">
        <f>IF(SUMIFS('[1]2025年已发货'!$E:$E,'[1]2025年已发货'!$F:$F,C3674,'[1]2025年已发货'!$C:$C,F3674,'[1]2025年已发货'!$G:$G,I3674,'[1]2025年已发货'!$H:$H,J3674)=0,"未发货",SUMIFS('[1]2025年已发货'!$E:$E,'[1]2025年已发货'!$F:$F,C3674,'[1]2025年已发货'!$C:$C,F3674,'[1]2025年已发货'!$G:$G,I3674,'[1]2025年已发货'!$H:$H,J3674))</f>
        <v>6</v>
      </c>
      <c r="I3674" s="120" t="str">
        <f>VLOOKUP(B3674,辅助信息!E:I,3,FALSE)</f>
        <v>（商投建工达州中医药科技园-4工区-10号楼）达州市通川区达州中医药职业学院犀牛大道北段</v>
      </c>
      <c r="J3674" s="120" t="str">
        <f>VLOOKUP(B3674,辅助信息!E:I,4,FALSE)</f>
        <v>张扬</v>
      </c>
      <c r="K3674" s="120">
        <f>VLOOKUP(J3674,辅助信息!H:I,2,FALSE)</f>
        <v>18381904567</v>
      </c>
      <c r="L3674" s="122" t="str">
        <f>VLOOKUP(B3674,辅助信息!E:J,6,FALSE)</f>
        <v>控制炉批号！多了现场不收！,优先安排达钢,提前联系到场规格及数量</v>
      </c>
      <c r="M3674" s="91"/>
      <c r="O3674" s="62" t="str">
        <f ca="1" t="shared" si="196"/>
        <v/>
      </c>
      <c r="P3674" s="62"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0" t="s">
        <v>112</v>
      </c>
      <c r="C3675" s="70">
        <v>45923</v>
      </c>
      <c r="D3675" s="120" t="str">
        <f>VLOOKUP(B3675,辅助信息!E:K,7,FALSE)</f>
        <v>JWDDCD2025052800131</v>
      </c>
      <c r="E3675" s="120" t="str">
        <f>VLOOKUP(F3675,辅助信息!A:B,2,FALSE)</f>
        <v>螺纹钢</v>
      </c>
      <c r="F3675" s="120" t="s">
        <v>27</v>
      </c>
      <c r="G3675" s="121">
        <v>15</v>
      </c>
      <c r="H3675" s="134">
        <f>IF(SUMIFS('[1]2025年已发货'!$E:$E,'[1]2025年已发货'!$F:$F,C3675,'[1]2025年已发货'!$C:$C,F3675,'[1]2025年已发货'!$G:$G,I3675,'[1]2025年已发货'!$H:$H,J3675)=0,"未发货",SUMIFS('[1]2025年已发货'!$E:$E,'[1]2025年已发货'!$F:$F,C3675,'[1]2025年已发货'!$C:$C,F3675,'[1]2025年已发货'!$G:$G,I3675,'[1]2025年已发货'!$H:$H,J3675))</f>
        <v>15</v>
      </c>
      <c r="I3675" s="120" t="str">
        <f>VLOOKUP(B3675,辅助信息!E:I,3,FALSE)</f>
        <v>（商投建工达州中医药科技园-4工区-10号楼）达州市通川区达州中医药职业学院犀牛大道北段</v>
      </c>
      <c r="J3675" s="120" t="str">
        <f>VLOOKUP(B3675,辅助信息!E:I,4,FALSE)</f>
        <v>张扬</v>
      </c>
      <c r="K3675" s="120">
        <f>VLOOKUP(J3675,辅助信息!H:I,2,FALSE)</f>
        <v>18381904567</v>
      </c>
      <c r="L3675" s="122" t="str">
        <f>VLOOKUP(B3675,辅助信息!E:J,6,FALSE)</f>
        <v>控制炉批号！多了现场不收！,优先安排达钢,提前联系到场规格及数量</v>
      </c>
      <c r="M3675" s="91">
        <v>45925</v>
      </c>
      <c r="O3675" s="62">
        <f ca="1" t="shared" si="196"/>
        <v>0</v>
      </c>
      <c r="P3675" s="62">
        <f ca="1" t="shared" si="197"/>
        <v>35</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0" t="s">
        <v>112</v>
      </c>
      <c r="C3676" s="70">
        <v>45923</v>
      </c>
      <c r="D3676" s="120" t="str">
        <f>VLOOKUP(B3676,辅助信息!E:K,7,FALSE)</f>
        <v>JWDDCD2025052800131</v>
      </c>
      <c r="E3676" s="120" t="str">
        <f>VLOOKUP(F3676,辅助信息!A:B,2,FALSE)</f>
        <v>螺纹钢</v>
      </c>
      <c r="F3676" s="120" t="s">
        <v>32</v>
      </c>
      <c r="G3676" s="121">
        <v>3</v>
      </c>
      <c r="H3676" s="134">
        <f>IF(SUMIFS('[1]2025年已发货'!$E:$E,'[1]2025年已发货'!$F:$F,C3676,'[1]2025年已发货'!$C:$C,F3676,'[1]2025年已发货'!$G:$G,I3676,'[1]2025年已发货'!$H:$H,J3676)=0,"未发货",SUMIFS('[1]2025年已发货'!$E:$E,'[1]2025年已发货'!$F:$F,C3676,'[1]2025年已发货'!$C:$C,F3676,'[1]2025年已发货'!$G:$G,I3676,'[1]2025年已发货'!$H:$H,J3676))</f>
        <v>3</v>
      </c>
      <c r="I3676" s="120" t="str">
        <f>VLOOKUP(B3676,辅助信息!E:I,3,FALSE)</f>
        <v>（商投建工达州中医药科技园-4工区-10号楼）达州市通川区达州中医药职业学院犀牛大道北段</v>
      </c>
      <c r="J3676" s="120" t="str">
        <f>VLOOKUP(B3676,辅助信息!E:I,4,FALSE)</f>
        <v>张扬</v>
      </c>
      <c r="K3676" s="120">
        <f>VLOOKUP(J3676,辅助信息!H:I,2,FALSE)</f>
        <v>18381904567</v>
      </c>
      <c r="L3676" s="122" t="str">
        <f>VLOOKUP(B3676,辅助信息!E:J,6,FALSE)</f>
        <v>控制炉批号！多了现场不收！,优先安排达钢,提前联系到场规格及数量</v>
      </c>
      <c r="M3676" s="91"/>
      <c r="O3676" s="62" t="str">
        <f ca="1" t="shared" si="196"/>
        <v/>
      </c>
      <c r="P3676" s="62"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0" t="s">
        <v>112</v>
      </c>
      <c r="C3677" s="70">
        <v>45923</v>
      </c>
      <c r="D3677" s="120" t="str">
        <f>VLOOKUP(B3677,辅助信息!E:K,7,FALSE)</f>
        <v>JWDDCD2025052800131</v>
      </c>
      <c r="E3677" s="120" t="str">
        <f>VLOOKUP(F3677,辅助信息!A:B,2,FALSE)</f>
        <v>螺纹钢</v>
      </c>
      <c r="F3677" s="120" t="s">
        <v>28</v>
      </c>
      <c r="G3677" s="121">
        <v>6</v>
      </c>
      <c r="H3677" s="134"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0" t="str">
        <f>VLOOKUP(B3677,辅助信息!E:I,3,FALSE)</f>
        <v>（商投建工达州中医药科技园-4工区-10号楼）达州市通川区达州中医药职业学院犀牛大道北段</v>
      </c>
      <c r="J3677" s="120" t="str">
        <f>VLOOKUP(B3677,辅助信息!E:I,4,FALSE)</f>
        <v>张扬</v>
      </c>
      <c r="K3677" s="120">
        <f>VLOOKUP(J3677,辅助信息!H:I,2,FALSE)</f>
        <v>18381904567</v>
      </c>
      <c r="L3677" s="122" t="str">
        <f>VLOOKUP(B3677,辅助信息!E:J,6,FALSE)</f>
        <v>控制炉批号！多了现场不收！,优先安排达钢,提前联系到场规格及数量</v>
      </c>
      <c r="M3677" s="91"/>
      <c r="O3677" s="62" t="str">
        <f ca="1" t="shared" si="196"/>
        <v/>
      </c>
      <c r="P3677" s="62"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0" t="s">
        <v>112</v>
      </c>
      <c r="C3678" s="70">
        <v>45923</v>
      </c>
      <c r="D3678" s="120" t="str">
        <f>VLOOKUP(B3678,辅助信息!E:K,7,FALSE)</f>
        <v>JWDDCD2025052800131</v>
      </c>
      <c r="E3678" s="120" t="str">
        <f>VLOOKUP(F3678,辅助信息!A:B,2,FALSE)</f>
        <v>螺纹钢</v>
      </c>
      <c r="F3678" s="120" t="s">
        <v>18</v>
      </c>
      <c r="G3678" s="121">
        <v>6</v>
      </c>
      <c r="H3678" s="134">
        <f>IF(SUMIFS('[1]2025年已发货'!$E:$E,'[1]2025年已发货'!$F:$F,C3678,'[1]2025年已发货'!$C:$C,F3678,'[1]2025年已发货'!$G:$G,I3678,'[1]2025年已发货'!$H:$H,J3678)=0,"未发货",SUMIFS('[1]2025年已发货'!$E:$E,'[1]2025年已发货'!$F:$F,C3678,'[1]2025年已发货'!$C:$C,F3678,'[1]2025年已发货'!$G:$G,I3678,'[1]2025年已发货'!$H:$H,J3678))</f>
        <v>6</v>
      </c>
      <c r="I3678" s="120" t="str">
        <f>VLOOKUP(B3678,辅助信息!E:I,3,FALSE)</f>
        <v>（商投建工达州中医药科技园-4工区-10号楼）达州市通川区达州中医药职业学院犀牛大道北段</v>
      </c>
      <c r="J3678" s="120" t="str">
        <f>VLOOKUP(B3678,辅助信息!E:I,4,FALSE)</f>
        <v>张扬</v>
      </c>
      <c r="K3678" s="120">
        <f>VLOOKUP(J3678,辅助信息!H:I,2,FALSE)</f>
        <v>18381904567</v>
      </c>
      <c r="L3678" s="122" t="str">
        <f>VLOOKUP(B3678,辅助信息!E:J,6,FALSE)</f>
        <v>控制炉批号！多了现场不收！,优先安排达钢,提前联系到场规格及数量</v>
      </c>
      <c r="M3678" s="91"/>
      <c r="O3678" s="62" t="str">
        <f ca="1" t="shared" si="196"/>
        <v/>
      </c>
      <c r="P3678" s="62"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0" t="s">
        <v>112</v>
      </c>
      <c r="C3679" s="70">
        <v>45923</v>
      </c>
      <c r="D3679" s="120" t="str">
        <f>VLOOKUP(B3679,辅助信息!E:K,7,FALSE)</f>
        <v>JWDDCD2025052800131</v>
      </c>
      <c r="E3679" s="120" t="str">
        <f>VLOOKUP(F3679,辅助信息!A:B,2,FALSE)</f>
        <v>螺纹钢</v>
      </c>
      <c r="F3679" s="120" t="s">
        <v>45</v>
      </c>
      <c r="G3679" s="121">
        <v>6</v>
      </c>
      <c r="H3679" s="134"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0" t="str">
        <f>VLOOKUP(B3679,辅助信息!E:I,3,FALSE)</f>
        <v>（商投建工达州中医药科技园-4工区-10号楼）达州市通川区达州中医药职业学院犀牛大道北段</v>
      </c>
      <c r="J3679" s="120" t="str">
        <f>VLOOKUP(B3679,辅助信息!E:I,4,FALSE)</f>
        <v>张扬</v>
      </c>
      <c r="K3679" s="120">
        <f>VLOOKUP(J3679,辅助信息!H:I,2,FALSE)</f>
        <v>18381904567</v>
      </c>
      <c r="L3679" s="122" t="str">
        <f>VLOOKUP(B3679,辅助信息!E:J,6,FALSE)</f>
        <v>控制炉批号！多了现场不收！,优先安排达钢,提前联系到场规格及数量</v>
      </c>
      <c r="M3679" s="91">
        <v>45925</v>
      </c>
      <c r="O3679" s="62">
        <f ca="1" t="shared" si="196"/>
        <v>0</v>
      </c>
      <c r="P3679" s="62">
        <f ca="1" t="shared" si="197"/>
        <v>35</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0" t="s">
        <v>112</v>
      </c>
      <c r="C3680" s="70">
        <v>45923</v>
      </c>
      <c r="D3680" s="120" t="str">
        <f>VLOOKUP(B3680,辅助信息!E:K,7,FALSE)</f>
        <v>JWDDCD2025052800131</v>
      </c>
      <c r="E3680" s="120" t="str">
        <f>VLOOKUP(F3680,辅助信息!A:B,2,FALSE)</f>
        <v>螺纹钢</v>
      </c>
      <c r="F3680" s="120" t="s">
        <v>21</v>
      </c>
      <c r="G3680" s="121">
        <v>12</v>
      </c>
      <c r="H3680" s="134"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0" t="str">
        <f>VLOOKUP(B3680,辅助信息!E:I,3,FALSE)</f>
        <v>（商投建工达州中医药科技园-4工区-10号楼）达州市通川区达州中医药职业学院犀牛大道北段</v>
      </c>
      <c r="J3680" s="120" t="str">
        <f>VLOOKUP(B3680,辅助信息!E:I,4,FALSE)</f>
        <v>张扬</v>
      </c>
      <c r="K3680" s="120">
        <f>VLOOKUP(J3680,辅助信息!H:I,2,FALSE)</f>
        <v>18381904567</v>
      </c>
      <c r="L3680" s="122" t="str">
        <f>VLOOKUP(B3680,辅助信息!E:J,6,FALSE)</f>
        <v>控制炉批号！多了现场不收！,优先安排达钢,提前联系到场规格及数量</v>
      </c>
      <c r="M3680" s="91">
        <v>45925</v>
      </c>
      <c r="O3680" s="62">
        <f ca="1" t="shared" ref="O3680:O3743" si="198">IF(OR(M3680="",N3680&lt;&gt;""),"",MAX(M3680-TODAY(),0))</f>
        <v>0</v>
      </c>
      <c r="P3680" s="62">
        <f ca="1" t="shared" ref="P3680:P3743" si="199">IF(M3680="","",IF(N3680&lt;&gt;"",MAX(N3680-M3680,0),IF(TODAY()&gt;M3680,TODAY()-M3680,0)))</f>
        <v>35</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0" t="s">
        <v>112</v>
      </c>
      <c r="C3681" s="70">
        <v>45923</v>
      </c>
      <c r="D3681" s="120" t="str">
        <f>VLOOKUP(B3681,辅助信息!E:K,7,FALSE)</f>
        <v>JWDDCD2025052800131</v>
      </c>
      <c r="E3681" s="120" t="str">
        <f>VLOOKUP(F3681,辅助信息!A:B,2,FALSE)</f>
        <v>螺纹钢</v>
      </c>
      <c r="F3681" s="120" t="s">
        <v>58</v>
      </c>
      <c r="G3681" s="121">
        <v>12</v>
      </c>
      <c r="H3681" s="134"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0" t="str">
        <f>VLOOKUP(B3681,辅助信息!E:I,3,FALSE)</f>
        <v>（商投建工达州中医药科技园-4工区-10号楼）达州市通川区达州中医药职业学院犀牛大道北段</v>
      </c>
      <c r="J3681" s="120" t="str">
        <f>VLOOKUP(B3681,辅助信息!E:I,4,FALSE)</f>
        <v>张扬</v>
      </c>
      <c r="K3681" s="120">
        <f>VLOOKUP(J3681,辅助信息!H:I,2,FALSE)</f>
        <v>18381904567</v>
      </c>
      <c r="L3681" s="122" t="str">
        <f>VLOOKUP(B3681,辅助信息!E:J,6,FALSE)</f>
        <v>控制炉批号！多了现场不收！,优先安排达钢,提前联系到场规格及数量</v>
      </c>
      <c r="M3681" s="91">
        <v>45925</v>
      </c>
      <c r="O3681" s="62">
        <f ca="1" t="shared" si="198"/>
        <v>0</v>
      </c>
      <c r="P3681" s="62">
        <f ca="1" t="shared" si="199"/>
        <v>35</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0" t="s">
        <v>112</v>
      </c>
      <c r="C3682" s="70">
        <v>45923</v>
      </c>
      <c r="D3682" s="120" t="str">
        <f>VLOOKUP(B3682,辅助信息!E:K,7,FALSE)</f>
        <v>JWDDCD2025052800131</v>
      </c>
      <c r="E3682" s="120" t="str">
        <f>VLOOKUP(F3682,辅助信息!A:B,2,FALSE)</f>
        <v>螺纹钢</v>
      </c>
      <c r="F3682" s="120" t="s">
        <v>46</v>
      </c>
      <c r="G3682" s="121">
        <v>15</v>
      </c>
      <c r="H3682" s="134">
        <f>IF(SUMIFS('[1]2025年已发货'!$E:$E,'[1]2025年已发货'!$F:$F,C3682,'[1]2025年已发货'!$C:$C,F3682,'[1]2025年已发货'!$G:$G,I3682,'[1]2025年已发货'!$H:$H,J3682)=0,"未发货",SUMIFS('[1]2025年已发货'!$E:$E,'[1]2025年已发货'!$F:$F,C3682,'[1]2025年已发货'!$C:$C,F3682,'[1]2025年已发货'!$G:$G,I3682,'[1]2025年已发货'!$H:$H,J3682))</f>
        <v>15</v>
      </c>
      <c r="I3682" s="120" t="str">
        <f>VLOOKUP(B3682,辅助信息!E:I,3,FALSE)</f>
        <v>（商投建工达州中医药科技园-4工区-10号楼）达州市通川区达州中医药职业学院犀牛大道北段</v>
      </c>
      <c r="J3682" s="120" t="str">
        <f>VLOOKUP(B3682,辅助信息!E:I,4,FALSE)</f>
        <v>张扬</v>
      </c>
      <c r="K3682" s="120">
        <f>VLOOKUP(J3682,辅助信息!H:I,2,FALSE)</f>
        <v>18381904567</v>
      </c>
      <c r="L3682" s="122" t="str">
        <f>VLOOKUP(B3682,辅助信息!E:J,6,FALSE)</f>
        <v>控制炉批号！多了现场不收！,优先安排达钢,提前联系到场规格及数量</v>
      </c>
      <c r="M3682" s="91">
        <v>45925</v>
      </c>
      <c r="O3682" s="62">
        <f ca="1" t="shared" si="198"/>
        <v>0</v>
      </c>
      <c r="P3682" s="62">
        <f ca="1" t="shared" si="199"/>
        <v>35</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0" t="s">
        <v>112</v>
      </c>
      <c r="C3683" s="70">
        <v>45923</v>
      </c>
      <c r="D3683" s="120" t="str">
        <f>VLOOKUP(B3683,辅助信息!E:K,7,FALSE)</f>
        <v>JWDDCD2025052800131</v>
      </c>
      <c r="E3683" s="120" t="str">
        <f>VLOOKUP(F3683,辅助信息!A:B,2,FALSE)</f>
        <v>螺纹钢</v>
      </c>
      <c r="F3683" s="120" t="s">
        <v>22</v>
      </c>
      <c r="G3683" s="121">
        <v>6</v>
      </c>
      <c r="H3683" s="134"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0" t="str">
        <f>VLOOKUP(B3683,辅助信息!E:I,3,FALSE)</f>
        <v>（商投建工达州中医药科技园-4工区-10号楼）达州市通川区达州中医药职业学院犀牛大道北段</v>
      </c>
      <c r="J3683" s="120" t="str">
        <f>VLOOKUP(B3683,辅助信息!E:I,4,FALSE)</f>
        <v>张扬</v>
      </c>
      <c r="K3683" s="120">
        <f>VLOOKUP(J3683,辅助信息!H:I,2,FALSE)</f>
        <v>18381904567</v>
      </c>
      <c r="L3683" s="122" t="str">
        <f>VLOOKUP(B3683,辅助信息!E:J,6,FALSE)</f>
        <v>控制炉批号！多了现场不收！,优先安排达钢,提前联系到场规格及数量</v>
      </c>
      <c r="M3683" s="91">
        <v>45925</v>
      </c>
      <c r="O3683" s="62">
        <f ca="1" t="shared" si="198"/>
        <v>0</v>
      </c>
      <c r="P3683" s="62">
        <f ca="1" t="shared" si="199"/>
        <v>35</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0" t="s">
        <v>167</v>
      </c>
      <c r="C3684" s="70">
        <v>45923</v>
      </c>
      <c r="D3684" s="120" t="str">
        <f>VLOOKUP(B3684,辅助信息!E:K,7,FALSE)</f>
        <v>JWDDCD2025102100473</v>
      </c>
      <c r="E3684" s="120" t="str">
        <f>VLOOKUP(F3684,辅助信息!A:B,2,FALSE)</f>
        <v>螺纹钢</v>
      </c>
      <c r="F3684" s="120" t="s">
        <v>27</v>
      </c>
      <c r="G3684" s="121">
        <v>21</v>
      </c>
      <c r="H3684" s="134">
        <f>IF(SUMIFS('[1]2025年已发货'!$E:$E,'[1]2025年已发货'!$F:$F,C3684,'[1]2025年已发货'!$C:$C,F3684,'[1]2025年已发货'!$G:$G,I3684,'[1]2025年已发货'!$H:$H,J3684)=0,"未发货",SUMIFS('[1]2025年已发货'!$E:$E,'[1]2025年已发货'!$F:$F,C3684,'[1]2025年已发货'!$C:$C,F3684,'[1]2025年已发货'!$G:$G,I3684,'[1]2025年已发货'!$H:$H,J3684))</f>
        <v>21</v>
      </c>
      <c r="I3684" s="120" t="str">
        <f>VLOOKUP(B3684,辅助信息!E:I,3,FALSE)</f>
        <v>(五冶建设扩建艺体中学二期工程)四川省成都市双流区光荣路成都艺体中学南200米</v>
      </c>
      <c r="J3684" s="120" t="str">
        <f>VLOOKUP(B3684,辅助信息!E:I,4,FALSE)</f>
        <v>谢序强</v>
      </c>
      <c r="K3684" s="120">
        <f>VLOOKUP(J3684,辅助信息!H:I,2,FALSE)</f>
        <v>13458588232</v>
      </c>
      <c r="L3684" s="122"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1">
        <v>45925</v>
      </c>
      <c r="O3684" s="62">
        <f ca="1" t="shared" si="198"/>
        <v>0</v>
      </c>
      <c r="P3684" s="62">
        <f ca="1" t="shared" si="199"/>
        <v>35</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0" t="s">
        <v>167</v>
      </c>
      <c r="C3685" s="70">
        <v>45923</v>
      </c>
      <c r="D3685" s="120" t="str">
        <f>VLOOKUP(B3685,辅助信息!E:K,7,FALSE)</f>
        <v>JWDDCD2025102100473</v>
      </c>
      <c r="E3685" s="120" t="str">
        <f>VLOOKUP(F3685,辅助信息!A:B,2,FALSE)</f>
        <v>螺纹钢</v>
      </c>
      <c r="F3685" s="120" t="s">
        <v>19</v>
      </c>
      <c r="G3685" s="121">
        <v>27</v>
      </c>
      <c r="H3685" s="134">
        <f>IF(SUMIFS('[1]2025年已发货'!$E:$E,'[1]2025年已发货'!$F:$F,C3685,'[1]2025年已发货'!$C:$C,F3685,'[1]2025年已发货'!$G:$G,I3685,'[1]2025年已发货'!$H:$H,J3685)=0,"未发货",SUMIFS('[1]2025年已发货'!$E:$E,'[1]2025年已发货'!$F:$F,C3685,'[1]2025年已发货'!$C:$C,F3685,'[1]2025年已发货'!$G:$G,I3685,'[1]2025年已发货'!$H:$H,J3685))</f>
        <v>27</v>
      </c>
      <c r="I3685" s="120" t="str">
        <f>VLOOKUP(B3685,辅助信息!E:I,3,FALSE)</f>
        <v>(五冶建设扩建艺体中学二期工程)四川省成都市双流区光荣路成都艺体中学南200米</v>
      </c>
      <c r="J3685" s="120" t="str">
        <f>VLOOKUP(B3685,辅助信息!E:I,4,FALSE)</f>
        <v>谢序强</v>
      </c>
      <c r="K3685" s="120">
        <f>VLOOKUP(J3685,辅助信息!H:I,2,FALSE)</f>
        <v>13458588232</v>
      </c>
      <c r="L3685" s="122"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1">
        <v>45925</v>
      </c>
      <c r="O3685" s="62">
        <f ca="1" t="shared" si="198"/>
        <v>0</v>
      </c>
      <c r="P3685" s="62">
        <f ca="1" t="shared" si="199"/>
        <v>35</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0" t="s">
        <v>167</v>
      </c>
      <c r="C3686" s="70">
        <v>45923</v>
      </c>
      <c r="D3686" s="120" t="str">
        <f>VLOOKUP(B3686,辅助信息!E:K,7,FALSE)</f>
        <v>JWDDCD2025102100473</v>
      </c>
      <c r="E3686" s="120" t="str">
        <f>VLOOKUP(F3686,辅助信息!A:B,2,FALSE)</f>
        <v>螺纹钢</v>
      </c>
      <c r="F3686" s="120" t="s">
        <v>32</v>
      </c>
      <c r="G3686" s="121">
        <v>27</v>
      </c>
      <c r="H3686" s="134">
        <f>IF(SUMIFS('[1]2025年已发货'!$E:$E,'[1]2025年已发货'!$F:$F,C3686,'[1]2025年已发货'!$C:$C,F3686,'[1]2025年已发货'!$G:$G,I3686,'[1]2025年已发货'!$H:$H,J3686)=0,"未发货",SUMIFS('[1]2025年已发货'!$E:$E,'[1]2025年已发货'!$F:$F,C3686,'[1]2025年已发货'!$C:$C,F3686,'[1]2025年已发货'!$G:$G,I3686,'[1]2025年已发货'!$H:$H,J3686))</f>
        <v>27</v>
      </c>
      <c r="I3686" s="120" t="str">
        <f>VLOOKUP(B3686,辅助信息!E:I,3,FALSE)</f>
        <v>(五冶建设扩建艺体中学二期工程)四川省成都市双流区光荣路成都艺体中学南200米</v>
      </c>
      <c r="J3686" s="120" t="str">
        <f>VLOOKUP(B3686,辅助信息!E:I,4,FALSE)</f>
        <v>谢序强</v>
      </c>
      <c r="K3686" s="120">
        <f>VLOOKUP(J3686,辅助信息!H:I,2,FALSE)</f>
        <v>13458588232</v>
      </c>
      <c r="L3686" s="122"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1">
        <v>45925</v>
      </c>
      <c r="O3686" s="62">
        <f ca="1" t="shared" si="198"/>
        <v>0</v>
      </c>
      <c r="P3686" s="62">
        <f ca="1" t="shared" si="199"/>
        <v>35</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0" t="s">
        <v>167</v>
      </c>
      <c r="C3687" s="70">
        <v>45923</v>
      </c>
      <c r="D3687" s="120" t="str">
        <f>VLOOKUP(B3687,辅助信息!E:K,7,FALSE)</f>
        <v>JWDDCD2025102100473</v>
      </c>
      <c r="E3687" s="120" t="str">
        <f>VLOOKUP(F3687,辅助信息!A:B,2,FALSE)</f>
        <v>螺纹钢</v>
      </c>
      <c r="F3687" s="120" t="s">
        <v>33</v>
      </c>
      <c r="G3687" s="121">
        <v>6</v>
      </c>
      <c r="H3687" s="134">
        <f>IF(SUMIFS('[1]2025年已发货'!$E:$E,'[1]2025年已发货'!$F:$F,C3687,'[1]2025年已发货'!$C:$C,F3687,'[1]2025年已发货'!$G:$G,I3687,'[1]2025年已发货'!$H:$H,J3687)=0,"未发货",SUMIFS('[1]2025年已发货'!$E:$E,'[1]2025年已发货'!$F:$F,C3687,'[1]2025年已发货'!$C:$C,F3687,'[1]2025年已发货'!$G:$G,I3687,'[1]2025年已发货'!$H:$H,J3687))</f>
        <v>6</v>
      </c>
      <c r="I3687" s="120" t="str">
        <f>VLOOKUP(B3687,辅助信息!E:I,3,FALSE)</f>
        <v>(五冶建设扩建艺体中学二期工程)四川省成都市双流区光荣路成都艺体中学南200米</v>
      </c>
      <c r="J3687" s="120" t="str">
        <f>VLOOKUP(B3687,辅助信息!E:I,4,FALSE)</f>
        <v>谢序强</v>
      </c>
      <c r="K3687" s="120">
        <f>VLOOKUP(J3687,辅助信息!H:I,2,FALSE)</f>
        <v>13458588232</v>
      </c>
      <c r="L3687" s="122"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1">
        <v>45925</v>
      </c>
      <c r="O3687" s="62">
        <f ca="1" t="shared" si="198"/>
        <v>0</v>
      </c>
      <c r="P3687" s="62">
        <f ca="1" t="shared" si="199"/>
        <v>35</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0" t="s">
        <v>167</v>
      </c>
      <c r="C3688" s="70">
        <v>45923</v>
      </c>
      <c r="D3688" s="120" t="str">
        <f>VLOOKUP(B3688,辅助信息!E:K,7,FALSE)</f>
        <v>JWDDCD2025102100473</v>
      </c>
      <c r="E3688" s="120" t="str">
        <f>VLOOKUP(F3688,辅助信息!A:B,2,FALSE)</f>
        <v>螺纹钢</v>
      </c>
      <c r="F3688" s="120" t="s">
        <v>28</v>
      </c>
      <c r="G3688" s="121">
        <v>12</v>
      </c>
      <c r="H3688" s="134">
        <f>IF(SUMIFS('[1]2025年已发货'!$E:$E,'[1]2025年已发货'!$F:$F,C3688,'[1]2025年已发货'!$C:$C,F3688,'[1]2025年已发货'!$G:$G,I3688,'[1]2025年已发货'!$H:$H,J3688)=0,"未发货",SUMIFS('[1]2025年已发货'!$E:$E,'[1]2025年已发货'!$F:$F,C3688,'[1]2025年已发货'!$C:$C,F3688,'[1]2025年已发货'!$G:$G,I3688,'[1]2025年已发货'!$H:$H,J3688))</f>
        <v>12</v>
      </c>
      <c r="I3688" s="120" t="str">
        <f>VLOOKUP(B3688,辅助信息!E:I,3,FALSE)</f>
        <v>(五冶建设扩建艺体中学二期工程)四川省成都市双流区光荣路成都艺体中学南200米</v>
      </c>
      <c r="J3688" s="120" t="str">
        <f>VLOOKUP(B3688,辅助信息!E:I,4,FALSE)</f>
        <v>谢序强</v>
      </c>
      <c r="K3688" s="120">
        <f>VLOOKUP(J3688,辅助信息!H:I,2,FALSE)</f>
        <v>13458588232</v>
      </c>
      <c r="L3688" s="122"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1">
        <v>45925</v>
      </c>
      <c r="O3688" s="62">
        <f ca="1" t="shared" si="198"/>
        <v>0</v>
      </c>
      <c r="P3688" s="62">
        <f ca="1" t="shared" si="199"/>
        <v>35</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0" t="s">
        <v>167</v>
      </c>
      <c r="C3689" s="70">
        <v>45923</v>
      </c>
      <c r="D3689" s="120" t="str">
        <f>VLOOKUP(B3689,辅助信息!E:K,7,FALSE)</f>
        <v>JWDDCD2025102100473</v>
      </c>
      <c r="E3689" s="120" t="str">
        <f>VLOOKUP(F3689,辅助信息!A:B,2,FALSE)</f>
        <v>螺纹钢</v>
      </c>
      <c r="F3689" s="120" t="s">
        <v>18</v>
      </c>
      <c r="G3689" s="121">
        <v>12</v>
      </c>
      <c r="H3689" s="134">
        <f>IF(SUMIFS('[1]2025年已发货'!$E:$E,'[1]2025年已发货'!$F:$F,C3689,'[1]2025年已发货'!$C:$C,F3689,'[1]2025年已发货'!$G:$G,I3689,'[1]2025年已发货'!$H:$H,J3689)=0,"未发货",SUMIFS('[1]2025年已发货'!$E:$E,'[1]2025年已发货'!$F:$F,C3689,'[1]2025年已发货'!$C:$C,F3689,'[1]2025年已发货'!$G:$G,I3689,'[1]2025年已发货'!$H:$H,J3689))</f>
        <v>12</v>
      </c>
      <c r="I3689" s="120" t="str">
        <f>VLOOKUP(B3689,辅助信息!E:I,3,FALSE)</f>
        <v>(五冶建设扩建艺体中学二期工程)四川省成都市双流区光荣路成都艺体中学南200米</v>
      </c>
      <c r="J3689" s="120" t="str">
        <f>VLOOKUP(B3689,辅助信息!E:I,4,FALSE)</f>
        <v>谢序强</v>
      </c>
      <c r="K3689" s="120">
        <f>VLOOKUP(J3689,辅助信息!H:I,2,FALSE)</f>
        <v>13458588232</v>
      </c>
      <c r="L3689" s="122"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1">
        <v>45925</v>
      </c>
      <c r="O3689" s="62">
        <f ca="1" t="shared" si="198"/>
        <v>0</v>
      </c>
      <c r="P3689" s="62">
        <f ca="1" t="shared" si="199"/>
        <v>35</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0" t="s">
        <v>187</v>
      </c>
      <c r="C3690" s="70">
        <v>45923</v>
      </c>
      <c r="D3690" s="120" t="str">
        <f>VLOOKUP(B3690,辅助信息!E:K,7,FALSE)</f>
        <v>JWDDCD2025072900121</v>
      </c>
      <c r="E3690" s="120" t="str">
        <f>VLOOKUP(F3690,辅助信息!A:B,2,FALSE)</f>
        <v>盘螺</v>
      </c>
      <c r="F3690" s="120" t="s">
        <v>40</v>
      </c>
      <c r="G3690" s="121">
        <v>16</v>
      </c>
      <c r="H3690" s="134">
        <f>IF(SUMIFS('[1]2025年已发货'!$E:$E,'[1]2025年已发货'!$F:$F,C3690,'[1]2025年已发货'!$C:$C,F3690,'[1]2025年已发货'!$G:$G,I3690,'[1]2025年已发货'!$H:$H,J3690)=0,"未发货",SUMIFS('[1]2025年已发货'!$E:$E,'[1]2025年已发货'!$F:$F,C3690,'[1]2025年已发货'!$C:$C,F3690,'[1]2025年已发货'!$G:$G,I3690,'[1]2025年已发货'!$H:$H,J3690))</f>
        <v>16</v>
      </c>
      <c r="I3690" s="120" t="str">
        <f>VLOOKUP(B3690,辅助信息!E:I,3,FALSE)</f>
        <v>(乐山市校地共建产教融合基地建设项目一标段)四川省乐山市市中区苏稽镇周山嘴</v>
      </c>
      <c r="J3690" s="120" t="str">
        <f>VLOOKUP(B3690,辅助信息!E:I,4,FALSE)</f>
        <v>范增云</v>
      </c>
      <c r="K3690" s="120">
        <f>VLOOKUP(J3690,辅助信息!H:I,2,FALSE)</f>
        <v>13668153241</v>
      </c>
      <c r="L3690" s="122" t="str">
        <f>VLOOKUP(B3690,辅助信息!E:J,6,FALSE)</f>
        <v>联系实际收货人（范增云13668153241）现场要求炉批号控制2个以下，超2个不给予签收。提前联系到场规格及数量</v>
      </c>
      <c r="M3690" s="91">
        <v>45924</v>
      </c>
      <c r="O3690" s="62">
        <f ca="1" t="shared" si="198"/>
        <v>0</v>
      </c>
      <c r="P3690" s="62">
        <f ca="1" t="shared" si="199"/>
        <v>36</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0" t="s">
        <v>187</v>
      </c>
      <c r="C3691" s="70">
        <v>45923</v>
      </c>
      <c r="D3691" s="120" t="str">
        <f>VLOOKUP(B3691,辅助信息!E:K,7,FALSE)</f>
        <v>JWDDCD2025072900121</v>
      </c>
      <c r="E3691" s="120" t="str">
        <f>VLOOKUP(F3691,辅助信息!A:B,2,FALSE)</f>
        <v>盘螺</v>
      </c>
      <c r="F3691" s="120" t="s">
        <v>41</v>
      </c>
      <c r="G3691" s="121">
        <v>6</v>
      </c>
      <c r="H3691" s="134">
        <f>IF(SUMIFS('[1]2025年已发货'!$E:$E,'[1]2025年已发货'!$F:$F,C3691,'[1]2025年已发货'!$C:$C,F3691,'[1]2025年已发货'!$G:$G,I3691,'[1]2025年已发货'!$H:$H,J3691)=0,"未发货",SUMIFS('[1]2025年已发货'!$E:$E,'[1]2025年已发货'!$F:$F,C3691,'[1]2025年已发货'!$C:$C,F3691,'[1]2025年已发货'!$G:$G,I3691,'[1]2025年已发货'!$H:$H,J3691))</f>
        <v>6</v>
      </c>
      <c r="I3691" s="120" t="str">
        <f>VLOOKUP(B3691,辅助信息!E:I,3,FALSE)</f>
        <v>(乐山市校地共建产教融合基地建设项目一标段)四川省乐山市市中区苏稽镇周山嘴</v>
      </c>
      <c r="J3691" s="120" t="str">
        <f>VLOOKUP(B3691,辅助信息!E:I,4,FALSE)</f>
        <v>范增云</v>
      </c>
      <c r="K3691" s="120">
        <f>VLOOKUP(J3691,辅助信息!H:I,2,FALSE)</f>
        <v>13668153241</v>
      </c>
      <c r="L3691" s="122" t="str">
        <f>VLOOKUP(B3691,辅助信息!E:J,6,FALSE)</f>
        <v>联系实际收货人（范增云13668153241）现场要求炉批号控制2个以下，超2个不给予签收。提前联系到场规格及数量</v>
      </c>
      <c r="M3691" s="91">
        <v>45924</v>
      </c>
      <c r="O3691" s="62">
        <f ca="1" t="shared" si="198"/>
        <v>0</v>
      </c>
      <c r="P3691" s="62">
        <f ca="1" t="shared" si="199"/>
        <v>36</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0" t="s">
        <v>187</v>
      </c>
      <c r="C3692" s="70">
        <v>45923</v>
      </c>
      <c r="D3692" s="120" t="str">
        <f>VLOOKUP(B3692,辅助信息!E:K,7,FALSE)</f>
        <v>JWDDCD2025072900121</v>
      </c>
      <c r="E3692" s="120" t="str">
        <f>VLOOKUP(F3692,辅助信息!A:B,2,FALSE)</f>
        <v>螺纹钢</v>
      </c>
      <c r="F3692" s="120" t="s">
        <v>66</v>
      </c>
      <c r="G3692" s="121">
        <v>8</v>
      </c>
      <c r="H3692" s="134">
        <f>IF(SUMIFS('[1]2025年已发货'!$E:$E,'[1]2025年已发货'!$F:$F,C3692,'[1]2025年已发货'!$C:$C,F3692,'[1]2025年已发货'!$G:$G,I3692,'[1]2025年已发货'!$H:$H,J3692)=0,"未发货",SUMIFS('[1]2025年已发货'!$E:$E,'[1]2025年已发货'!$F:$F,C3692,'[1]2025年已发货'!$C:$C,F3692,'[1]2025年已发货'!$G:$G,I3692,'[1]2025年已发货'!$H:$H,J3692))</f>
        <v>8</v>
      </c>
      <c r="I3692" s="120" t="str">
        <f>VLOOKUP(B3692,辅助信息!E:I,3,FALSE)</f>
        <v>(乐山市校地共建产教融合基地建设项目一标段)四川省乐山市市中区苏稽镇周山嘴</v>
      </c>
      <c r="J3692" s="120" t="str">
        <f>VLOOKUP(B3692,辅助信息!E:I,4,FALSE)</f>
        <v>范增云</v>
      </c>
      <c r="K3692" s="120">
        <f>VLOOKUP(J3692,辅助信息!H:I,2,FALSE)</f>
        <v>13668153241</v>
      </c>
      <c r="L3692" s="122" t="str">
        <f>VLOOKUP(B3692,辅助信息!E:J,6,FALSE)</f>
        <v>联系实际收货人（范增云13668153241）现场要求炉批号控制2个以下，超2个不给予签收。提前联系到场规格及数量</v>
      </c>
      <c r="M3692" s="91">
        <v>45924</v>
      </c>
      <c r="O3692" s="62">
        <f ca="1" t="shared" si="198"/>
        <v>0</v>
      </c>
      <c r="P3692" s="62">
        <f ca="1" t="shared" si="199"/>
        <v>36</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0" t="s">
        <v>187</v>
      </c>
      <c r="C3693" s="70">
        <v>45923</v>
      </c>
      <c r="D3693" s="120" t="str">
        <f>VLOOKUP(B3693,辅助信息!E:K,7,FALSE)</f>
        <v>JWDDCD2025072900121</v>
      </c>
      <c r="E3693" s="120" t="str">
        <f>VLOOKUP(F3693,辅助信息!A:B,2,FALSE)</f>
        <v>螺纹钢</v>
      </c>
      <c r="F3693" s="120" t="s">
        <v>82</v>
      </c>
      <c r="G3693" s="121">
        <v>5</v>
      </c>
      <c r="H3693" s="134">
        <f>IF(SUMIFS('[1]2025年已发货'!$E:$E,'[1]2025年已发货'!$F:$F,C3693,'[1]2025年已发货'!$C:$C,F3693,'[1]2025年已发货'!$G:$G,I3693,'[1]2025年已发货'!$H:$H,J3693)=0,"未发货",SUMIFS('[1]2025年已发货'!$E:$E,'[1]2025年已发货'!$F:$F,C3693,'[1]2025年已发货'!$C:$C,F3693,'[1]2025年已发货'!$G:$G,I3693,'[1]2025年已发货'!$H:$H,J3693))</f>
        <v>5</v>
      </c>
      <c r="I3693" s="120" t="str">
        <f>VLOOKUP(B3693,辅助信息!E:I,3,FALSE)</f>
        <v>(乐山市校地共建产教融合基地建设项目一标段)四川省乐山市市中区苏稽镇周山嘴</v>
      </c>
      <c r="J3693" s="120" t="str">
        <f>VLOOKUP(B3693,辅助信息!E:I,4,FALSE)</f>
        <v>范增云</v>
      </c>
      <c r="K3693" s="120">
        <f>VLOOKUP(J3693,辅助信息!H:I,2,FALSE)</f>
        <v>13668153241</v>
      </c>
      <c r="L3693" s="122" t="str">
        <f>VLOOKUP(B3693,辅助信息!E:J,6,FALSE)</f>
        <v>联系实际收货人（范增云13668153241）现场要求炉批号控制2个以下，超2个不给予签收。提前联系到场规格及数量</v>
      </c>
      <c r="M3693" s="91">
        <v>45924</v>
      </c>
      <c r="O3693" s="62">
        <f ca="1" t="shared" si="198"/>
        <v>0</v>
      </c>
      <c r="P3693" s="62">
        <f ca="1" t="shared" si="199"/>
        <v>36</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0" t="s">
        <v>187</v>
      </c>
      <c r="C3694" s="70">
        <v>45923</v>
      </c>
      <c r="D3694" s="120" t="str">
        <f>VLOOKUP(B3694,辅助信息!E:K,7,FALSE)</f>
        <v>JWDDCD2025072900121</v>
      </c>
      <c r="E3694" s="120" t="str">
        <f>VLOOKUP(F3694,辅助信息!A:B,2,FALSE)</f>
        <v>螺纹钢</v>
      </c>
      <c r="F3694" s="120" t="s">
        <v>22</v>
      </c>
      <c r="G3694" s="121">
        <v>10</v>
      </c>
      <c r="H3694" s="134">
        <f>IF(SUMIFS('[1]2025年已发货'!$E:$E,'[1]2025年已发货'!$F:$F,C3694,'[1]2025年已发货'!$C:$C,F3694,'[1]2025年已发货'!$G:$G,I3694,'[1]2025年已发货'!$H:$H,J3694)=0,"未发货",SUMIFS('[1]2025年已发货'!$E:$E,'[1]2025年已发货'!$F:$F,C3694,'[1]2025年已发货'!$C:$C,F3694,'[1]2025年已发货'!$G:$G,I3694,'[1]2025年已发货'!$H:$H,J3694))</f>
        <v>10</v>
      </c>
      <c r="I3694" s="120" t="str">
        <f>VLOOKUP(B3694,辅助信息!E:I,3,FALSE)</f>
        <v>(乐山市校地共建产教融合基地建设项目一标段)四川省乐山市市中区苏稽镇周山嘴</v>
      </c>
      <c r="J3694" s="120" t="str">
        <f>VLOOKUP(B3694,辅助信息!E:I,4,FALSE)</f>
        <v>范增云</v>
      </c>
      <c r="K3694" s="120">
        <f>VLOOKUP(J3694,辅助信息!H:I,2,FALSE)</f>
        <v>13668153241</v>
      </c>
      <c r="L3694" s="122" t="str">
        <f>VLOOKUP(B3694,辅助信息!E:J,6,FALSE)</f>
        <v>联系实际收货人（范增云13668153241）现场要求炉批号控制2个以下，超2个不给予签收。提前联系到场规格及数量</v>
      </c>
      <c r="M3694" s="91">
        <v>45924</v>
      </c>
      <c r="O3694" s="62">
        <f ca="1" t="shared" si="198"/>
        <v>0</v>
      </c>
      <c r="P3694" s="62">
        <f ca="1" t="shared" si="199"/>
        <v>36</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0" t="s">
        <v>187</v>
      </c>
      <c r="C3695" s="70">
        <v>45923</v>
      </c>
      <c r="D3695" s="120" t="str">
        <f>VLOOKUP(B3695,辅助信息!E:K,7,FALSE)</f>
        <v>JWDDCD2025072900121</v>
      </c>
      <c r="E3695" s="120" t="str">
        <f>VLOOKUP(F3695,辅助信息!A:B,2,FALSE)</f>
        <v>螺纹钢</v>
      </c>
      <c r="F3695" s="120" t="s">
        <v>141</v>
      </c>
      <c r="G3695" s="121">
        <v>5</v>
      </c>
      <c r="H3695" s="134">
        <f>IF(SUMIFS('[1]2025年已发货'!$E:$E,'[1]2025年已发货'!$F:$F,C3695,'[1]2025年已发货'!$C:$C,F3695,'[1]2025年已发货'!$G:$G,I3695,'[1]2025年已发货'!$H:$H,J3695)=0,"未发货",SUMIFS('[1]2025年已发货'!$E:$E,'[1]2025年已发货'!$F:$F,C3695,'[1]2025年已发货'!$C:$C,F3695,'[1]2025年已发货'!$G:$G,I3695,'[1]2025年已发货'!$H:$H,J3695))</f>
        <v>6</v>
      </c>
      <c r="I3695" s="120" t="str">
        <f>VLOOKUP(B3695,辅助信息!E:I,3,FALSE)</f>
        <v>(乐山市校地共建产教融合基地建设项目一标段)四川省乐山市市中区苏稽镇周山嘴</v>
      </c>
      <c r="J3695" s="120" t="str">
        <f>VLOOKUP(B3695,辅助信息!E:I,4,FALSE)</f>
        <v>范增云</v>
      </c>
      <c r="K3695" s="120">
        <f>VLOOKUP(J3695,辅助信息!H:I,2,FALSE)</f>
        <v>13668153241</v>
      </c>
      <c r="L3695" s="122" t="str">
        <f>VLOOKUP(B3695,辅助信息!E:J,6,FALSE)</f>
        <v>联系实际收货人（范增云13668153241）现场要求炉批号控制2个以下，超2个不给予签收。提前联系到场规格及数量</v>
      </c>
      <c r="M3695" s="91">
        <v>45924</v>
      </c>
      <c r="O3695" s="62">
        <f ca="1" t="shared" si="198"/>
        <v>0</v>
      </c>
      <c r="P3695" s="62">
        <f ca="1" t="shared" si="199"/>
        <v>36</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0" t="s">
        <v>187</v>
      </c>
      <c r="C3696" s="70">
        <v>45923</v>
      </c>
      <c r="D3696" s="120" t="str">
        <f>VLOOKUP(B3696,辅助信息!E:K,7,FALSE)</f>
        <v>JWDDCD2025072900121</v>
      </c>
      <c r="E3696" s="120" t="str">
        <f>VLOOKUP(F3696,辅助信息!A:B,2,FALSE)</f>
        <v>螺纹钢</v>
      </c>
      <c r="F3696" s="120" t="s">
        <v>142</v>
      </c>
      <c r="G3696" s="121">
        <v>12</v>
      </c>
      <c r="H3696" s="134">
        <f>IF(SUMIFS('[1]2025年已发货'!$E:$E,'[1]2025年已发货'!$F:$F,C3696,'[1]2025年已发货'!$C:$C,F3696,'[1]2025年已发货'!$G:$G,I3696,'[1]2025年已发货'!$H:$H,J3696)=0,"未发货",SUMIFS('[1]2025年已发货'!$E:$E,'[1]2025年已发货'!$F:$F,C3696,'[1]2025年已发货'!$C:$C,F3696,'[1]2025年已发货'!$G:$G,I3696,'[1]2025年已发货'!$H:$H,J3696))</f>
        <v>11</v>
      </c>
      <c r="I3696" s="120" t="str">
        <f>VLOOKUP(B3696,辅助信息!E:I,3,FALSE)</f>
        <v>(乐山市校地共建产教融合基地建设项目一标段)四川省乐山市市中区苏稽镇周山嘴</v>
      </c>
      <c r="J3696" s="120" t="str">
        <f>VLOOKUP(B3696,辅助信息!E:I,4,FALSE)</f>
        <v>范增云</v>
      </c>
      <c r="K3696" s="120">
        <f>VLOOKUP(J3696,辅助信息!H:I,2,FALSE)</f>
        <v>13668153241</v>
      </c>
      <c r="L3696" s="122" t="str">
        <f>VLOOKUP(B3696,辅助信息!E:J,6,FALSE)</f>
        <v>联系实际收货人（范增云13668153241）现场要求炉批号控制2个以下，超2个不给予签收。提前联系到场规格及数量</v>
      </c>
      <c r="M3696" s="91">
        <v>45924</v>
      </c>
      <c r="O3696" s="62">
        <f ca="1" t="shared" si="198"/>
        <v>0</v>
      </c>
      <c r="P3696" s="62">
        <f ca="1" t="shared" si="199"/>
        <v>36</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0" t="s">
        <v>187</v>
      </c>
      <c r="C3697" s="70">
        <v>45923</v>
      </c>
      <c r="D3697" s="120" t="str">
        <f>VLOOKUP(B3697,辅助信息!E:K,7,FALSE)</f>
        <v>JWDDCD2025072900121</v>
      </c>
      <c r="E3697" s="120" t="str">
        <f>VLOOKUP(F3697,辅助信息!A:B,2,FALSE)</f>
        <v>螺纹钢</v>
      </c>
      <c r="F3697" s="120" t="s">
        <v>200</v>
      </c>
      <c r="G3697" s="121">
        <v>8</v>
      </c>
      <c r="H3697" s="134">
        <f>IF(SUMIFS('[1]2025年已发货'!$E:$E,'[1]2025年已发货'!$F:$F,C3697,'[1]2025年已发货'!$C:$C,F3697,'[1]2025年已发货'!$G:$G,I3697,'[1]2025年已发货'!$H:$H,J3697)=0,"未发货",SUMIFS('[1]2025年已发货'!$E:$E,'[1]2025年已发货'!$F:$F,C3697,'[1]2025年已发货'!$C:$C,F3697,'[1]2025年已发货'!$G:$G,I3697,'[1]2025年已发货'!$H:$H,J3697))</f>
        <v>8</v>
      </c>
      <c r="I3697" s="120" t="str">
        <f>VLOOKUP(B3697,辅助信息!E:I,3,FALSE)</f>
        <v>(乐山市校地共建产教融合基地建设项目一标段)四川省乐山市市中区苏稽镇周山嘴</v>
      </c>
      <c r="J3697" s="120" t="str">
        <f>VLOOKUP(B3697,辅助信息!E:I,4,FALSE)</f>
        <v>范增云</v>
      </c>
      <c r="K3697" s="120">
        <f>VLOOKUP(J3697,辅助信息!H:I,2,FALSE)</f>
        <v>13668153241</v>
      </c>
      <c r="L3697" s="122" t="str">
        <f>VLOOKUP(B3697,辅助信息!E:J,6,FALSE)</f>
        <v>联系实际收货人（范增云13668153241）现场要求炉批号控制2个以下，超2个不给予签收。提前联系到场规格及数量</v>
      </c>
      <c r="M3697" s="91">
        <v>45924</v>
      </c>
      <c r="O3697" s="62">
        <f ca="1" t="shared" si="198"/>
        <v>0</v>
      </c>
      <c r="P3697" s="62">
        <f ca="1" t="shared" si="199"/>
        <v>36</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0">
        <v>45923</v>
      </c>
      <c r="D3698" s="40" t="str">
        <f>VLOOKUP(B3698,辅助信息!E:K,7,FALSE)</f>
        <v>JWDDCD2025102100486</v>
      </c>
      <c r="E3698" s="40" t="str">
        <f>VLOOKUP(F3698,辅助信息!A:B,2,FALSE)</f>
        <v>螺纹钢</v>
      </c>
      <c r="F3698" s="40" t="s">
        <v>19</v>
      </c>
      <c r="G3698" s="36">
        <v>30</v>
      </c>
      <c r="H3698" s="134">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09" t="str">
        <f>VLOOKUP(B3698,辅助信息!E:J,6,FALSE)</f>
        <v>联系实际收货人（孙敏13617695006）五冶建设送货单,6份材质书,锈货不收，装货前联系收货人核实到场规格,没提前告知进场规格现场不给予接收</v>
      </c>
      <c r="M3698" s="91">
        <v>45924</v>
      </c>
      <c r="O3698" s="62">
        <f ca="1" t="shared" si="198"/>
        <v>0</v>
      </c>
      <c r="P3698" s="62">
        <f ca="1" t="shared" si="199"/>
        <v>36</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0">
        <v>45923</v>
      </c>
      <c r="D3699" s="40" t="str">
        <f>VLOOKUP(B3699,辅助信息!E:K,7,FALSE)</f>
        <v>JWDDCD2025102100486</v>
      </c>
      <c r="E3699" s="40" t="str">
        <f>VLOOKUP(F3699,辅助信息!A:B,2,FALSE)</f>
        <v>螺纹钢</v>
      </c>
      <c r="F3699" s="40" t="s">
        <v>28</v>
      </c>
      <c r="G3699" s="36">
        <v>16</v>
      </c>
      <c r="H3699" s="134">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09" t="str">
        <f>VLOOKUP(B3699,辅助信息!E:J,6,FALSE)</f>
        <v>联系实际收货人（孙敏13617695006）五冶建设送货单,6份材质书,锈货不收，装货前联系收货人核实到场规格,没提前告知进场规格现场不给予接收</v>
      </c>
      <c r="M3699" s="91">
        <v>45924</v>
      </c>
      <c r="O3699" s="62">
        <f ca="1" t="shared" si="198"/>
        <v>0</v>
      </c>
      <c r="P3699" s="62">
        <f ca="1" t="shared" si="199"/>
        <v>36</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0">
        <v>45923</v>
      </c>
      <c r="D3700" s="40" t="str">
        <f>VLOOKUP(B3700,辅助信息!E:K,7,FALSE)</f>
        <v>JWDDCD2025102100486</v>
      </c>
      <c r="E3700" s="40" t="str">
        <f>VLOOKUP(F3700,辅助信息!A:B,2,FALSE)</f>
        <v>螺纹钢</v>
      </c>
      <c r="F3700" s="40" t="s">
        <v>18</v>
      </c>
      <c r="G3700" s="36">
        <v>18</v>
      </c>
      <c r="H3700" s="134">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09" t="str">
        <f>VLOOKUP(B3700,辅助信息!E:J,6,FALSE)</f>
        <v>联系实际收货人（孙敏13617695006）五冶建设送货单,6份材质书,锈货不收，装货前联系收货人核实到场规格,没提前告知进场规格现场不给予接收</v>
      </c>
      <c r="M3700" s="91">
        <v>45924</v>
      </c>
      <c r="O3700" s="62">
        <f ca="1" t="shared" si="198"/>
        <v>0</v>
      </c>
      <c r="P3700" s="62">
        <f ca="1" t="shared" si="199"/>
        <v>36</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0">
        <v>45923</v>
      </c>
      <c r="D3701" s="40" t="str">
        <f>VLOOKUP(B3701,辅助信息!E:K,7,FALSE)</f>
        <v>JWDDCD2025102100486</v>
      </c>
      <c r="E3701" s="40" t="str">
        <f>VLOOKUP(F3701,辅助信息!A:B,2,FALSE)</f>
        <v>螺纹钢</v>
      </c>
      <c r="F3701" s="40" t="s">
        <v>58</v>
      </c>
      <c r="G3701" s="36">
        <v>3</v>
      </c>
      <c r="H3701" s="134">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09" t="str">
        <f>VLOOKUP(B3701,辅助信息!E:J,6,FALSE)</f>
        <v>联系实际收货人（孙敏13617695006）五冶建设送货单,6份材质书,锈货不收，装货前联系收货人核实到场规格,没提前告知进场规格现场不给予接收</v>
      </c>
      <c r="M3701" s="91">
        <v>45924</v>
      </c>
      <c r="O3701" s="62">
        <f ca="1" t="shared" si="198"/>
        <v>0</v>
      </c>
      <c r="P3701" s="62">
        <f ca="1" t="shared" si="199"/>
        <v>36</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0">
        <v>45923</v>
      </c>
      <c r="D3702" s="40" t="str">
        <f>VLOOKUP(B3702,辅助信息!E:K,7,FALSE)</f>
        <v>JWDDCD2025102100486</v>
      </c>
      <c r="E3702" s="40" t="str">
        <f>VLOOKUP(F3702,辅助信息!A:B,2,FALSE)</f>
        <v>螺纹钢</v>
      </c>
      <c r="F3702" s="40" t="s">
        <v>46</v>
      </c>
      <c r="G3702" s="36">
        <v>3</v>
      </c>
      <c r="H3702" s="134">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09" t="str">
        <f>VLOOKUP(B3702,辅助信息!E:J,6,FALSE)</f>
        <v>联系实际收货人（孙敏13617695006）五冶建设送货单,6份材质书,锈货不收，装货前联系收货人核实到场规格,没提前告知进场规格现场不给予接收</v>
      </c>
      <c r="M3702" s="91">
        <v>45924</v>
      </c>
      <c r="O3702" s="62">
        <f ca="1" t="shared" si="198"/>
        <v>0</v>
      </c>
      <c r="P3702" s="62">
        <f ca="1" t="shared" si="199"/>
        <v>36</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0">
        <v>45923</v>
      </c>
      <c r="D3703" s="40" t="str">
        <f>VLOOKUP(B3703,辅助信息!E:K,7,FALSE)</f>
        <v>JWDDCD2025102100476</v>
      </c>
      <c r="E3703" s="40" t="str">
        <f>VLOOKUP(F3703,辅助信息!A:B,2,FALSE)</f>
        <v>盘螺</v>
      </c>
      <c r="F3703" s="40" t="s">
        <v>40</v>
      </c>
      <c r="G3703" s="36">
        <v>2.5</v>
      </c>
      <c r="H3703" s="134">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09"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2" t="str">
        <f ca="1" t="shared" si="198"/>
        <v/>
      </c>
      <c r="P3703" s="62"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0">
        <v>45923</v>
      </c>
      <c r="D3704" s="40" t="str">
        <f>VLOOKUP(B3704,辅助信息!E:K,7,FALSE)</f>
        <v>JWDDCD2025102100476</v>
      </c>
      <c r="E3704" s="40" t="str">
        <f>VLOOKUP(F3704,辅助信息!A:B,2,FALSE)</f>
        <v>螺纹钢</v>
      </c>
      <c r="F3704" s="40" t="s">
        <v>27</v>
      </c>
      <c r="G3704" s="36">
        <v>23</v>
      </c>
      <c r="H3704" s="134">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09"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2" t="str">
        <f ca="1" t="shared" si="198"/>
        <v/>
      </c>
      <c r="P3704" s="62"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0">
        <v>45923</v>
      </c>
      <c r="D3705" s="40" t="str">
        <f>VLOOKUP(B3705,辅助信息!E:K,7,FALSE)</f>
        <v>JWDDCD2025102100476</v>
      </c>
      <c r="E3705" s="40" t="str">
        <f>VLOOKUP(F3705,辅助信息!A:B,2,FALSE)</f>
        <v>螺纹钢</v>
      </c>
      <c r="F3705" s="40" t="s">
        <v>19</v>
      </c>
      <c r="G3705" s="36">
        <v>40</v>
      </c>
      <c r="H3705" s="134">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09"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2" t="str">
        <f ca="1" t="shared" si="198"/>
        <v/>
      </c>
      <c r="P3705" s="62"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0">
        <v>45923</v>
      </c>
      <c r="D3706" s="40" t="str">
        <f>VLOOKUP(B3706,辅助信息!E:K,7,FALSE)</f>
        <v>JWDDCD2025102100476</v>
      </c>
      <c r="E3706" s="40" t="str">
        <f>VLOOKUP(F3706,辅助信息!A:B,2,FALSE)</f>
        <v>螺纹钢</v>
      </c>
      <c r="F3706" s="40" t="s">
        <v>32</v>
      </c>
      <c r="G3706" s="36">
        <v>2.5</v>
      </c>
      <c r="H3706" s="134">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09"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2" t="str">
        <f ca="1" t="shared" si="198"/>
        <v/>
      </c>
      <c r="P3706" s="62"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0">
        <v>45923</v>
      </c>
      <c r="D3707" s="40" t="str">
        <f>VLOOKUP(B3707,辅助信息!E:K,7,FALSE)</f>
        <v>JWDDCD2025102100476</v>
      </c>
      <c r="E3707" s="40" t="str">
        <f>VLOOKUP(F3707,辅助信息!A:B,2,FALSE)</f>
        <v>螺纹钢</v>
      </c>
      <c r="F3707" s="40" t="s">
        <v>30</v>
      </c>
      <c r="G3707" s="36">
        <v>5</v>
      </c>
      <c r="H3707" s="134">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09"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2" t="str">
        <f ca="1" t="shared" si="198"/>
        <v/>
      </c>
      <c r="P3707" s="62"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0">
        <v>45923</v>
      </c>
      <c r="D3708" s="40" t="str">
        <f>VLOOKUP(B3708,辅助信息!E:K,7,FALSE)</f>
        <v>JWDDCD2025102100476</v>
      </c>
      <c r="E3708" s="40" t="str">
        <f>VLOOKUP(F3708,辅助信息!A:B,2,FALSE)</f>
        <v>螺纹钢</v>
      </c>
      <c r="F3708" s="40" t="s">
        <v>33</v>
      </c>
      <c r="G3708" s="36">
        <v>5</v>
      </c>
      <c r="H3708" s="134">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09"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2" t="str">
        <f ca="1" t="shared" si="198"/>
        <v/>
      </c>
      <c r="P3708" s="62"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0">
        <v>45923</v>
      </c>
      <c r="D3709" s="40" t="str">
        <f>VLOOKUP(B3709,辅助信息!E:K,7,FALSE)</f>
        <v>JWDDCD2025102100476</v>
      </c>
      <c r="E3709" s="40" t="str">
        <f>VLOOKUP(F3709,辅助信息!A:B,2,FALSE)</f>
        <v>螺纹钢</v>
      </c>
      <c r="F3709" s="40" t="s">
        <v>28</v>
      </c>
      <c r="G3709" s="36">
        <v>2.5</v>
      </c>
      <c r="H3709" s="134">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09"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2" t="str">
        <f ca="1" t="shared" si="198"/>
        <v/>
      </c>
      <c r="P3709" s="62"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0">
        <v>45923</v>
      </c>
      <c r="D3710" s="40" t="str">
        <f>VLOOKUP(B3710,辅助信息!E:K,7,FALSE)</f>
        <v>JWDDCD2025102100476</v>
      </c>
      <c r="E3710" s="40" t="str">
        <f>VLOOKUP(F3710,辅助信息!A:B,2,FALSE)</f>
        <v>螺纹钢</v>
      </c>
      <c r="F3710" s="40" t="s">
        <v>18</v>
      </c>
      <c r="G3710" s="36">
        <v>7.5</v>
      </c>
      <c r="H3710" s="134">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09"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2" t="str">
        <f ca="1" t="shared" si="198"/>
        <v/>
      </c>
      <c r="P3710" s="62"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0">
        <v>45923</v>
      </c>
      <c r="D3711" s="40" t="str">
        <f>VLOOKUP(B3711,辅助信息!E:K,7,FALSE)</f>
        <v>JWDDCD2025102100476</v>
      </c>
      <c r="E3711" s="40" t="str">
        <f>VLOOKUP(F3711,辅助信息!A:B,2,FALSE)</f>
        <v>螺纹钢</v>
      </c>
      <c r="F3711" s="40" t="s">
        <v>65</v>
      </c>
      <c r="G3711" s="36">
        <v>2.5</v>
      </c>
      <c r="H3711" s="134">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09"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2" t="str">
        <f ca="1" t="shared" si="198"/>
        <v/>
      </c>
      <c r="P3711" s="62"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0">
        <v>45923</v>
      </c>
      <c r="D3712" s="40" t="str">
        <f>VLOOKUP(B3712,辅助信息!E:K,7,FALSE)</f>
        <v>JWDDCD2025102100476</v>
      </c>
      <c r="E3712" s="40" t="str">
        <f>VLOOKUP(F3712,辅助信息!A:B,2,FALSE)</f>
        <v>螺纹钢</v>
      </c>
      <c r="F3712" s="40" t="s">
        <v>58</v>
      </c>
      <c r="G3712" s="36">
        <v>5</v>
      </c>
      <c r="H3712" s="134">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09"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2" t="str">
        <f ca="1" t="shared" si="198"/>
        <v/>
      </c>
      <c r="P3712" s="62"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0">
        <v>45923</v>
      </c>
      <c r="D3713" s="40" t="str">
        <f>VLOOKUP(B3713,辅助信息!E:K,7,FALSE)</f>
        <v>JWDDCD2025102100476</v>
      </c>
      <c r="E3713" s="40" t="str">
        <f>VLOOKUP(F3713,辅助信息!A:B,2,FALSE)</f>
        <v>螺纹钢</v>
      </c>
      <c r="F3713" s="40" t="s">
        <v>46</v>
      </c>
      <c r="G3713" s="36">
        <v>5</v>
      </c>
      <c r="H3713" s="134">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09"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2" t="str">
        <f ca="1" t="shared" si="198"/>
        <v/>
      </c>
      <c r="P3713" s="62"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0">
        <v>45923</v>
      </c>
      <c r="D3714" s="40" t="str">
        <f>VLOOKUP(B3714,辅助信息!E:K,7,FALSE)</f>
        <v>JWDDCD2025102100476</v>
      </c>
      <c r="E3714" s="40" t="str">
        <f>VLOOKUP(F3714,辅助信息!A:B,2,FALSE)</f>
        <v>螺纹钢</v>
      </c>
      <c r="F3714" s="40" t="s">
        <v>22</v>
      </c>
      <c r="G3714" s="36">
        <v>20</v>
      </c>
      <c r="H3714" s="134">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09"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2" t="str">
        <f ca="1" t="shared" si="198"/>
        <v/>
      </c>
      <c r="P3714" s="62"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0">
        <v>45923</v>
      </c>
      <c r="D3715" s="40" t="str">
        <f>VLOOKUP(B3715,辅助信息!E:K,7,FALSE)</f>
        <v>JWDDCD2025102100476</v>
      </c>
      <c r="E3715" s="40" t="str">
        <f>VLOOKUP(F3715,辅助信息!A:B,2,FALSE)</f>
        <v>螺纹钢</v>
      </c>
      <c r="F3715" s="40" t="s">
        <v>181</v>
      </c>
      <c r="G3715" s="36">
        <v>10</v>
      </c>
      <c r="H3715" s="134">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09"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2" t="str">
        <f ca="1" t="shared" si="198"/>
        <v/>
      </c>
      <c r="P3715" s="62"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0">
        <v>45923</v>
      </c>
      <c r="D3716" s="40" t="str">
        <f>VLOOKUP(B3716,辅助信息!E:K,7,FALSE)</f>
        <v>JWDDCD2025102100476</v>
      </c>
      <c r="E3716" s="40" t="str">
        <f>VLOOKUP(F3716,辅助信息!A:B,2,FALSE)</f>
        <v>螺纹钢</v>
      </c>
      <c r="F3716" s="40" t="s">
        <v>182</v>
      </c>
      <c r="G3716" s="36">
        <v>10</v>
      </c>
      <c r="H3716" s="134">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09"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2" t="str">
        <f ca="1" t="shared" si="198"/>
        <v/>
      </c>
      <c r="P3716" s="62"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0" t="s">
        <v>163</v>
      </c>
      <c r="C3717" s="70">
        <v>45924</v>
      </c>
      <c r="D3717" s="120" t="str">
        <f>VLOOKUP(B3717,辅助信息!E:K,7,FALSE)</f>
        <v>JWDDCD2025052800131</v>
      </c>
      <c r="E3717" s="120" t="str">
        <f>VLOOKUP(F3717,辅助信息!A:B,2,FALSE)</f>
        <v>盘螺</v>
      </c>
      <c r="F3717" s="120" t="s">
        <v>49</v>
      </c>
      <c r="G3717" s="121">
        <v>6</v>
      </c>
      <c r="H3717" s="134"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0" t="str">
        <f>VLOOKUP(B3717,辅助信息!E:I,3,FALSE)</f>
        <v>（商投建工达州中医药科技园-4工区-9号楼）达州市通川区达州中医药职业学院犀牛大道北段</v>
      </c>
      <c r="J3717" s="120" t="str">
        <f>VLOOKUP(B3717,辅助信息!E:I,4,FALSE)</f>
        <v>张扬</v>
      </c>
      <c r="K3717" s="120">
        <f>VLOOKUP(J3717,辅助信息!H:I,2,FALSE)</f>
        <v>18381904567</v>
      </c>
      <c r="L3717" s="122" t="str">
        <f>VLOOKUP(B3717,辅助信息!E:J,6,FALSE)</f>
        <v>控制炉批号！多了现场不收！,优先安排达钢,提前联系到场规格及数量</v>
      </c>
      <c r="M3717" s="91"/>
      <c r="O3717" s="62" t="str">
        <f ca="1" t="shared" si="198"/>
        <v/>
      </c>
      <c r="P3717" s="62"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0" t="s">
        <v>163</v>
      </c>
      <c r="C3718" s="70">
        <v>45924</v>
      </c>
      <c r="D3718" s="120" t="str">
        <f>VLOOKUP(B3718,辅助信息!E:K,7,FALSE)</f>
        <v>JWDDCD2025052800131</v>
      </c>
      <c r="E3718" s="120" t="str">
        <f>VLOOKUP(F3718,辅助信息!A:B,2,FALSE)</f>
        <v>盘螺</v>
      </c>
      <c r="F3718" s="120" t="s">
        <v>40</v>
      </c>
      <c r="G3718" s="121">
        <f>47-26</f>
        <v>21</v>
      </c>
      <c r="H3718" s="134"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0" t="str">
        <f>VLOOKUP(B3718,辅助信息!E:I,3,FALSE)</f>
        <v>（商投建工达州中医药科技园-4工区-9号楼）达州市通川区达州中医药职业学院犀牛大道北段</v>
      </c>
      <c r="J3718" s="120" t="str">
        <f>VLOOKUP(B3718,辅助信息!E:I,4,FALSE)</f>
        <v>张扬</v>
      </c>
      <c r="K3718" s="120">
        <f>VLOOKUP(J3718,辅助信息!H:I,2,FALSE)</f>
        <v>18381904567</v>
      </c>
      <c r="L3718" s="122" t="str">
        <f>VLOOKUP(B3718,辅助信息!E:J,6,FALSE)</f>
        <v>控制炉批号！多了现场不收！,优先安排达钢,提前联系到场规格及数量</v>
      </c>
      <c r="M3718" s="91">
        <v>45922</v>
      </c>
      <c r="O3718" s="62">
        <f ca="1" t="shared" si="198"/>
        <v>0</v>
      </c>
      <c r="P3718" s="62">
        <f ca="1" t="shared" si="199"/>
        <v>38</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0" t="s">
        <v>163</v>
      </c>
      <c r="C3719" s="70">
        <v>45924</v>
      </c>
      <c r="D3719" s="120" t="str">
        <f>VLOOKUP(B3719,辅助信息!E:K,7,FALSE)</f>
        <v>JWDDCD2025052800131</v>
      </c>
      <c r="E3719" s="120" t="str">
        <f>VLOOKUP(F3719,辅助信息!A:B,2,FALSE)</f>
        <v>盘螺</v>
      </c>
      <c r="F3719" s="120" t="s">
        <v>41</v>
      </c>
      <c r="G3719" s="121">
        <v>10</v>
      </c>
      <c r="H3719" s="134"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0" t="str">
        <f>VLOOKUP(B3719,辅助信息!E:I,3,FALSE)</f>
        <v>（商投建工达州中医药科技园-4工区-9号楼）达州市通川区达州中医药职业学院犀牛大道北段</v>
      </c>
      <c r="J3719" s="120" t="str">
        <f>VLOOKUP(B3719,辅助信息!E:I,4,FALSE)</f>
        <v>张扬</v>
      </c>
      <c r="K3719" s="120">
        <f>VLOOKUP(J3719,辅助信息!H:I,2,FALSE)</f>
        <v>18381904567</v>
      </c>
      <c r="L3719" s="122" t="str">
        <f>VLOOKUP(B3719,辅助信息!E:J,6,FALSE)</f>
        <v>控制炉批号！多了现场不收！,优先安排达钢,提前联系到场规格及数量</v>
      </c>
      <c r="M3719" s="91">
        <v>45922</v>
      </c>
      <c r="O3719" s="62">
        <f ca="1" t="shared" si="198"/>
        <v>0</v>
      </c>
      <c r="P3719" s="62">
        <f ca="1" t="shared" si="199"/>
        <v>38</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0" t="s">
        <v>163</v>
      </c>
      <c r="C3720" s="70">
        <v>45924</v>
      </c>
      <c r="D3720" s="120" t="str">
        <f>VLOOKUP(B3720,辅助信息!E:K,7,FALSE)</f>
        <v>JWDDCD2025052800131</v>
      </c>
      <c r="E3720" s="120" t="str">
        <f>VLOOKUP(F3720,辅助信息!A:B,2,FALSE)</f>
        <v>螺纹钢</v>
      </c>
      <c r="F3720" s="120" t="s">
        <v>58</v>
      </c>
      <c r="G3720" s="121">
        <v>15</v>
      </c>
      <c r="H3720" s="134"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0" t="str">
        <f>VLOOKUP(B3720,辅助信息!E:I,3,FALSE)</f>
        <v>（商投建工达州中医药科技园-4工区-9号楼）达州市通川区达州中医药职业学院犀牛大道北段</v>
      </c>
      <c r="J3720" s="120" t="str">
        <f>VLOOKUP(B3720,辅助信息!E:I,4,FALSE)</f>
        <v>张扬</v>
      </c>
      <c r="K3720" s="120">
        <f>VLOOKUP(J3720,辅助信息!H:I,2,FALSE)</f>
        <v>18381904567</v>
      </c>
      <c r="L3720" s="122" t="str">
        <f>VLOOKUP(B3720,辅助信息!E:J,6,FALSE)</f>
        <v>控制炉批号！多了现场不收！,优先安排达钢,提前联系到场规格及数量</v>
      </c>
      <c r="M3720" s="91"/>
      <c r="O3720" s="62" t="str">
        <f ca="1" t="shared" si="198"/>
        <v/>
      </c>
      <c r="P3720" s="62"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0" t="s">
        <v>163</v>
      </c>
      <c r="C3721" s="70">
        <v>45924</v>
      </c>
      <c r="D3721" s="120" t="str">
        <f>VLOOKUP(B3721,辅助信息!E:K,7,FALSE)</f>
        <v>JWDDCD2025052800131</v>
      </c>
      <c r="E3721" s="120" t="str">
        <f>VLOOKUP(F3721,辅助信息!A:B,2,FALSE)</f>
        <v>螺纹钢</v>
      </c>
      <c r="F3721" s="120" t="s">
        <v>46</v>
      </c>
      <c r="G3721" s="121">
        <v>9</v>
      </c>
      <c r="H3721" s="134"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0" t="str">
        <f>VLOOKUP(B3721,辅助信息!E:I,3,FALSE)</f>
        <v>（商投建工达州中医药科技园-4工区-9号楼）达州市通川区达州中医药职业学院犀牛大道北段</v>
      </c>
      <c r="J3721" s="120" t="str">
        <f>VLOOKUP(B3721,辅助信息!E:I,4,FALSE)</f>
        <v>张扬</v>
      </c>
      <c r="K3721" s="120">
        <f>VLOOKUP(J3721,辅助信息!H:I,2,FALSE)</f>
        <v>18381904567</v>
      </c>
      <c r="L3721" s="122" t="str">
        <f>VLOOKUP(B3721,辅助信息!E:J,6,FALSE)</f>
        <v>控制炉批号！多了现场不收！,优先安排达钢,提前联系到场规格及数量</v>
      </c>
      <c r="M3721" s="91"/>
      <c r="O3721" s="62" t="str">
        <f ca="1" t="shared" si="198"/>
        <v/>
      </c>
      <c r="P3721" s="62"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0" t="s">
        <v>163</v>
      </c>
      <c r="C3722" s="70">
        <v>45924</v>
      </c>
      <c r="D3722" s="120" t="str">
        <f>VLOOKUP(B3722,辅助信息!E:K,7,FALSE)</f>
        <v>JWDDCD2025052800131</v>
      </c>
      <c r="E3722" s="120" t="str">
        <f>VLOOKUP(F3722,辅助信息!A:B,2,FALSE)</f>
        <v>螺纹钢</v>
      </c>
      <c r="F3722" s="120" t="s">
        <v>22</v>
      </c>
      <c r="G3722" s="121">
        <v>15</v>
      </c>
      <c r="H3722" s="134"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0" t="str">
        <f>VLOOKUP(B3722,辅助信息!E:I,3,FALSE)</f>
        <v>（商投建工达州中医药科技园-4工区-9号楼）达州市通川区达州中医药职业学院犀牛大道北段</v>
      </c>
      <c r="J3722" s="120" t="str">
        <f>VLOOKUP(B3722,辅助信息!E:I,4,FALSE)</f>
        <v>张扬</v>
      </c>
      <c r="K3722" s="120">
        <f>VLOOKUP(J3722,辅助信息!H:I,2,FALSE)</f>
        <v>18381904567</v>
      </c>
      <c r="L3722" s="122" t="str">
        <f>VLOOKUP(B3722,辅助信息!E:J,6,FALSE)</f>
        <v>控制炉批号！多了现场不收！,优先安排达钢,提前联系到场规格及数量</v>
      </c>
      <c r="M3722" s="91"/>
      <c r="O3722" s="62" t="str">
        <f ca="1" t="shared" si="198"/>
        <v/>
      </c>
      <c r="P3722" s="62"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0" t="s">
        <v>112</v>
      </c>
      <c r="C3723" s="70">
        <v>45924</v>
      </c>
      <c r="D3723" s="120" t="str">
        <f>VLOOKUP(B3723,辅助信息!E:K,7,FALSE)</f>
        <v>JWDDCD2025052800131</v>
      </c>
      <c r="E3723" s="120" t="str">
        <f>VLOOKUP(F3723,辅助信息!A:B,2,FALSE)</f>
        <v>盘螺</v>
      </c>
      <c r="F3723" s="120" t="s">
        <v>40</v>
      </c>
      <c r="G3723" s="121">
        <v>15</v>
      </c>
      <c r="H3723" s="134"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0" t="str">
        <f>VLOOKUP(B3723,辅助信息!E:I,3,FALSE)</f>
        <v>（商投建工达州中医药科技园-4工区-10号楼）达州市通川区达州中医药职业学院犀牛大道北段</v>
      </c>
      <c r="J3723" s="120" t="str">
        <f>VLOOKUP(B3723,辅助信息!E:I,4,FALSE)</f>
        <v>张扬</v>
      </c>
      <c r="K3723" s="120">
        <f>VLOOKUP(J3723,辅助信息!H:I,2,FALSE)</f>
        <v>18381904567</v>
      </c>
      <c r="L3723" s="122" t="str">
        <f>VLOOKUP(B3723,辅助信息!E:J,6,FALSE)</f>
        <v>控制炉批号！多了现场不收！,优先安排达钢,提前联系到场规格及数量</v>
      </c>
      <c r="M3723" s="91"/>
      <c r="O3723" s="62" t="str">
        <f ca="1" t="shared" si="198"/>
        <v/>
      </c>
      <c r="P3723" s="62"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0" t="s">
        <v>112</v>
      </c>
      <c r="C3724" s="70">
        <v>45924</v>
      </c>
      <c r="D3724" s="120" t="str">
        <f>VLOOKUP(B3724,辅助信息!E:K,7,FALSE)</f>
        <v>JWDDCD2025052800131</v>
      </c>
      <c r="E3724" s="120" t="str">
        <f>VLOOKUP(F3724,辅助信息!A:B,2,FALSE)</f>
        <v>螺纹钢</v>
      </c>
      <c r="F3724" s="120" t="s">
        <v>28</v>
      </c>
      <c r="G3724" s="121">
        <v>6</v>
      </c>
      <c r="H3724" s="134"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0" t="str">
        <f>VLOOKUP(B3724,辅助信息!E:I,3,FALSE)</f>
        <v>（商投建工达州中医药科技园-4工区-10号楼）达州市通川区达州中医药职业学院犀牛大道北段</v>
      </c>
      <c r="J3724" s="120" t="str">
        <f>VLOOKUP(B3724,辅助信息!E:I,4,FALSE)</f>
        <v>张扬</v>
      </c>
      <c r="K3724" s="120">
        <f>VLOOKUP(J3724,辅助信息!H:I,2,FALSE)</f>
        <v>18381904567</v>
      </c>
      <c r="L3724" s="122" t="str">
        <f>VLOOKUP(B3724,辅助信息!E:J,6,FALSE)</f>
        <v>控制炉批号！多了现场不收！,优先安排达钢,提前联系到场规格及数量</v>
      </c>
      <c r="M3724" s="91"/>
      <c r="O3724" s="62" t="str">
        <f ca="1" t="shared" si="198"/>
        <v/>
      </c>
      <c r="P3724" s="62"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0" t="s">
        <v>112</v>
      </c>
      <c r="C3725" s="70">
        <v>45924</v>
      </c>
      <c r="D3725" s="120" t="str">
        <f>VLOOKUP(B3725,辅助信息!E:K,7,FALSE)</f>
        <v>JWDDCD2025052800131</v>
      </c>
      <c r="E3725" s="120" t="str">
        <f>VLOOKUP(F3725,辅助信息!A:B,2,FALSE)</f>
        <v>螺纹钢</v>
      </c>
      <c r="F3725" s="120" t="s">
        <v>45</v>
      </c>
      <c r="G3725" s="121">
        <v>6</v>
      </c>
      <c r="H3725" s="134"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0" t="str">
        <f>VLOOKUP(B3725,辅助信息!E:I,3,FALSE)</f>
        <v>（商投建工达州中医药科技园-4工区-10号楼）达州市通川区达州中医药职业学院犀牛大道北段</v>
      </c>
      <c r="J3725" s="120" t="str">
        <f>VLOOKUP(B3725,辅助信息!E:I,4,FALSE)</f>
        <v>张扬</v>
      </c>
      <c r="K3725" s="120">
        <f>VLOOKUP(J3725,辅助信息!H:I,2,FALSE)</f>
        <v>18381904567</v>
      </c>
      <c r="L3725" s="122" t="str">
        <f>VLOOKUP(B3725,辅助信息!E:J,6,FALSE)</f>
        <v>控制炉批号！多了现场不收！,优先安排达钢,提前联系到场规格及数量</v>
      </c>
      <c r="M3725" s="91">
        <v>45925</v>
      </c>
      <c r="O3725" s="62">
        <f ca="1" t="shared" si="198"/>
        <v>0</v>
      </c>
      <c r="P3725" s="62">
        <f ca="1" t="shared" si="199"/>
        <v>35</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0" t="s">
        <v>112</v>
      </c>
      <c r="C3726" s="70">
        <v>45924</v>
      </c>
      <c r="D3726" s="120" t="str">
        <f>VLOOKUP(B3726,辅助信息!E:K,7,FALSE)</f>
        <v>JWDDCD2025052800131</v>
      </c>
      <c r="E3726" s="120" t="str">
        <f>VLOOKUP(F3726,辅助信息!A:B,2,FALSE)</f>
        <v>螺纹钢</v>
      </c>
      <c r="F3726" s="120" t="s">
        <v>21</v>
      </c>
      <c r="G3726" s="121">
        <v>12</v>
      </c>
      <c r="H3726" s="134"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0" t="str">
        <f>VLOOKUP(B3726,辅助信息!E:I,3,FALSE)</f>
        <v>（商投建工达州中医药科技园-4工区-10号楼）达州市通川区达州中医药职业学院犀牛大道北段</v>
      </c>
      <c r="J3726" s="120" t="str">
        <f>VLOOKUP(B3726,辅助信息!E:I,4,FALSE)</f>
        <v>张扬</v>
      </c>
      <c r="K3726" s="120">
        <f>VLOOKUP(J3726,辅助信息!H:I,2,FALSE)</f>
        <v>18381904567</v>
      </c>
      <c r="L3726" s="122" t="str">
        <f>VLOOKUP(B3726,辅助信息!E:J,6,FALSE)</f>
        <v>控制炉批号！多了现场不收！,优先安排达钢,提前联系到场规格及数量</v>
      </c>
      <c r="M3726" s="91">
        <v>45925</v>
      </c>
      <c r="O3726" s="62">
        <f ca="1" t="shared" si="198"/>
        <v>0</v>
      </c>
      <c r="P3726" s="62">
        <f ca="1" t="shared" si="199"/>
        <v>35</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0" t="s">
        <v>112</v>
      </c>
      <c r="C3727" s="70">
        <v>45924</v>
      </c>
      <c r="D3727" s="120" t="str">
        <f>VLOOKUP(B3727,辅助信息!E:K,7,FALSE)</f>
        <v>JWDDCD2025052800131</v>
      </c>
      <c r="E3727" s="120" t="str">
        <f>VLOOKUP(F3727,辅助信息!A:B,2,FALSE)</f>
        <v>螺纹钢</v>
      </c>
      <c r="F3727" s="120" t="s">
        <v>58</v>
      </c>
      <c r="G3727" s="121">
        <v>12</v>
      </c>
      <c r="H3727" s="134"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0" t="str">
        <f>VLOOKUP(B3727,辅助信息!E:I,3,FALSE)</f>
        <v>（商投建工达州中医药科技园-4工区-10号楼）达州市通川区达州中医药职业学院犀牛大道北段</v>
      </c>
      <c r="J3727" s="120" t="str">
        <f>VLOOKUP(B3727,辅助信息!E:I,4,FALSE)</f>
        <v>张扬</v>
      </c>
      <c r="K3727" s="120">
        <f>VLOOKUP(J3727,辅助信息!H:I,2,FALSE)</f>
        <v>18381904567</v>
      </c>
      <c r="L3727" s="122" t="str">
        <f>VLOOKUP(B3727,辅助信息!E:J,6,FALSE)</f>
        <v>控制炉批号！多了现场不收！,优先安排达钢,提前联系到场规格及数量</v>
      </c>
      <c r="M3727" s="91">
        <v>45925</v>
      </c>
      <c r="O3727" s="62">
        <f ca="1" t="shared" si="198"/>
        <v>0</v>
      </c>
      <c r="P3727" s="62">
        <f ca="1" t="shared" si="199"/>
        <v>35</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0" t="s">
        <v>112</v>
      </c>
      <c r="C3728" s="70">
        <v>45924</v>
      </c>
      <c r="D3728" s="120" t="str">
        <f>VLOOKUP(B3728,辅助信息!E:K,7,FALSE)</f>
        <v>JWDDCD2025052800131</v>
      </c>
      <c r="E3728" s="120" t="str">
        <f>VLOOKUP(F3728,辅助信息!A:B,2,FALSE)</f>
        <v>螺纹钢</v>
      </c>
      <c r="F3728" s="120" t="s">
        <v>22</v>
      </c>
      <c r="G3728" s="121">
        <v>6</v>
      </c>
      <c r="H3728" s="134"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0" t="str">
        <f>VLOOKUP(B3728,辅助信息!E:I,3,FALSE)</f>
        <v>（商投建工达州中医药科技园-4工区-10号楼）达州市通川区达州中医药职业学院犀牛大道北段</v>
      </c>
      <c r="J3728" s="120" t="str">
        <f>VLOOKUP(B3728,辅助信息!E:I,4,FALSE)</f>
        <v>张扬</v>
      </c>
      <c r="K3728" s="120">
        <f>VLOOKUP(J3728,辅助信息!H:I,2,FALSE)</f>
        <v>18381904567</v>
      </c>
      <c r="L3728" s="122" t="str">
        <f>VLOOKUP(B3728,辅助信息!E:J,6,FALSE)</f>
        <v>控制炉批号！多了现场不收！,优先安排达钢,提前联系到场规格及数量</v>
      </c>
      <c r="M3728" s="91">
        <v>45925</v>
      </c>
      <c r="O3728" s="62">
        <f ca="1" t="shared" si="198"/>
        <v>0</v>
      </c>
      <c r="P3728" s="62">
        <f ca="1" t="shared" si="199"/>
        <v>35</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0">
        <v>45924</v>
      </c>
      <c r="D3729" s="40" t="e">
        <f>VLOOKUP(B3729,辅助信息!E:K,7,FALSE)</f>
        <v>#N/A</v>
      </c>
      <c r="E3729" s="40" t="str">
        <f>VLOOKUP(F3729,辅助信息!A:B,2,FALSE)</f>
        <v>螺纹钢</v>
      </c>
      <c r="F3729" s="40" t="s">
        <v>19</v>
      </c>
      <c r="G3729" s="36">
        <v>9</v>
      </c>
      <c r="H3729" s="134"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09" t="e">
        <f>VLOOKUP(B3729,辅助信息!E:J,6,FALSE)</f>
        <v>#N/A</v>
      </c>
      <c r="M3729" s="91">
        <v>45925</v>
      </c>
      <c r="O3729" s="62">
        <f ca="1" t="shared" si="198"/>
        <v>0</v>
      </c>
      <c r="P3729" s="62">
        <f ca="1" t="shared" si="199"/>
        <v>35</v>
      </c>
      <c r="Q3729" s="29" t="e">
        <f>VLOOKUP(B3729,辅助信息!E:M,9,FALSE)</f>
        <v>#N/A</v>
      </c>
      <c r="R3729" s="29" vm="1" t="e">
        <f>_xlfn._xlws.FILTER(辅助信息!D:D,辅助信息!E:E=B3729)</f>
        <v>#VALUE!</v>
      </c>
    </row>
    <row r="3730" hidden="1" spans="2:18">
      <c r="B3730" s="40" t="s">
        <v>211</v>
      </c>
      <c r="C3730" s="70">
        <v>45924</v>
      </c>
      <c r="D3730" s="40" t="e">
        <f>VLOOKUP(B3730,辅助信息!E:K,7,FALSE)</f>
        <v>#N/A</v>
      </c>
      <c r="E3730" s="40" t="str">
        <f>VLOOKUP(F3730,辅助信息!A:B,2,FALSE)</f>
        <v>螺纹钢</v>
      </c>
      <c r="F3730" s="40" t="s">
        <v>32</v>
      </c>
      <c r="G3730" s="36">
        <v>9</v>
      </c>
      <c r="H3730" s="134"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09" t="e">
        <f>VLOOKUP(B3730,辅助信息!E:J,6,FALSE)</f>
        <v>#N/A</v>
      </c>
      <c r="M3730" s="91">
        <v>45925</v>
      </c>
      <c r="O3730" s="62">
        <f ca="1" t="shared" si="198"/>
        <v>0</v>
      </c>
      <c r="P3730" s="62">
        <f ca="1" t="shared" si="199"/>
        <v>35</v>
      </c>
      <c r="Q3730" s="29" t="e">
        <f>VLOOKUP(B3730,辅助信息!E:M,9,FALSE)</f>
        <v>#N/A</v>
      </c>
      <c r="R3730" s="29" vm="1" t="e">
        <f>_xlfn._xlws.FILTER(辅助信息!D:D,辅助信息!E:E=B3730)</f>
        <v>#VALUE!</v>
      </c>
    </row>
    <row r="3731" hidden="1" spans="2:18">
      <c r="B3731" s="40" t="s">
        <v>211</v>
      </c>
      <c r="C3731" s="70">
        <v>45924</v>
      </c>
      <c r="D3731" s="40" t="e">
        <f>VLOOKUP(B3731,辅助信息!E:K,7,FALSE)</f>
        <v>#N/A</v>
      </c>
      <c r="E3731" s="40" t="str">
        <f>VLOOKUP(F3731,辅助信息!A:B,2,FALSE)</f>
        <v>螺纹钢</v>
      </c>
      <c r="F3731" s="40" t="s">
        <v>30</v>
      </c>
      <c r="G3731" s="36">
        <v>9</v>
      </c>
      <c r="H3731" s="134"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09" t="e">
        <f>VLOOKUP(B3731,辅助信息!E:J,6,FALSE)</f>
        <v>#N/A</v>
      </c>
      <c r="M3731" s="91">
        <v>45925</v>
      </c>
      <c r="O3731" s="62">
        <f ca="1" t="shared" si="198"/>
        <v>0</v>
      </c>
      <c r="P3731" s="62">
        <f ca="1" t="shared" si="199"/>
        <v>35</v>
      </c>
      <c r="Q3731" s="29" t="e">
        <f>VLOOKUP(B3731,辅助信息!E:M,9,FALSE)</f>
        <v>#N/A</v>
      </c>
      <c r="R3731" s="29" vm="1" t="e">
        <f>_xlfn._xlws.FILTER(辅助信息!D:D,辅助信息!E:E=B3731)</f>
        <v>#VALUE!</v>
      </c>
    </row>
    <row r="3732" hidden="1" spans="2:18">
      <c r="B3732" s="40" t="s">
        <v>211</v>
      </c>
      <c r="C3732" s="70">
        <v>45924</v>
      </c>
      <c r="D3732" s="40" t="e">
        <f>VLOOKUP(B3732,辅助信息!E:K,7,FALSE)</f>
        <v>#N/A</v>
      </c>
      <c r="E3732" s="40" t="str">
        <f>VLOOKUP(F3732,辅助信息!A:B,2,FALSE)</f>
        <v>螺纹钢</v>
      </c>
      <c r="F3732" s="40" t="s">
        <v>33</v>
      </c>
      <c r="G3732" s="36">
        <v>3</v>
      </c>
      <c r="H3732" s="134"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09" t="e">
        <f>VLOOKUP(B3732,辅助信息!E:J,6,FALSE)</f>
        <v>#N/A</v>
      </c>
      <c r="M3732" s="91">
        <v>45925</v>
      </c>
      <c r="O3732" s="62">
        <f ca="1" t="shared" si="198"/>
        <v>0</v>
      </c>
      <c r="P3732" s="62">
        <f ca="1" t="shared" si="199"/>
        <v>35</v>
      </c>
      <c r="Q3732" s="29" t="e">
        <f>VLOOKUP(B3732,辅助信息!E:M,9,FALSE)</f>
        <v>#N/A</v>
      </c>
      <c r="R3732" s="29" vm="1" t="e">
        <f>_xlfn._xlws.FILTER(辅助信息!D:D,辅助信息!E:E=B3732)</f>
        <v>#VALUE!</v>
      </c>
    </row>
    <row r="3733" hidden="1" spans="2:18">
      <c r="B3733" s="40" t="s">
        <v>211</v>
      </c>
      <c r="C3733" s="70">
        <v>45924</v>
      </c>
      <c r="D3733" s="40" t="e">
        <f>VLOOKUP(B3733,辅助信息!E:K,7,FALSE)</f>
        <v>#N/A</v>
      </c>
      <c r="E3733" s="40" t="str">
        <f>VLOOKUP(F3733,辅助信息!A:B,2,FALSE)</f>
        <v>螺纹钢</v>
      </c>
      <c r="F3733" s="40" t="s">
        <v>28</v>
      </c>
      <c r="G3733" s="36">
        <v>6</v>
      </c>
      <c r="H3733" s="134"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09" t="e">
        <f>VLOOKUP(B3733,辅助信息!E:J,6,FALSE)</f>
        <v>#N/A</v>
      </c>
      <c r="M3733" s="91">
        <v>45925</v>
      </c>
      <c r="O3733" s="62">
        <f ca="1" t="shared" si="198"/>
        <v>0</v>
      </c>
      <c r="P3733" s="62">
        <f ca="1" t="shared" si="199"/>
        <v>35</v>
      </c>
      <c r="Q3733" s="29" t="e">
        <f>VLOOKUP(B3733,辅助信息!E:M,9,FALSE)</f>
        <v>#N/A</v>
      </c>
      <c r="R3733" s="29" vm="1" t="e">
        <f>_xlfn._xlws.FILTER(辅助信息!D:D,辅助信息!E:E=B3733)</f>
        <v>#VALUE!</v>
      </c>
    </row>
    <row r="3734" hidden="1" spans="1:18">
      <c r="A3734" s="153" t="s">
        <v>223</v>
      </c>
      <c r="B3734" s="40" t="s">
        <v>167</v>
      </c>
      <c r="C3734" s="70">
        <v>45924</v>
      </c>
      <c r="D3734" s="40" t="str">
        <f>VLOOKUP(B3734,辅助信息!E:K,7,FALSE)</f>
        <v>JWDDCD2025102100473</v>
      </c>
      <c r="E3734" s="40" t="str">
        <f>VLOOKUP(F3734,辅助信息!A:B,2,FALSE)</f>
        <v>盘螺</v>
      </c>
      <c r="F3734" s="40" t="s">
        <v>49</v>
      </c>
      <c r="G3734" s="36">
        <v>5</v>
      </c>
      <c r="H3734" s="134">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09"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2" t="str">
        <f ca="1" t="shared" si="198"/>
        <v/>
      </c>
      <c r="P3734" s="62"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3"/>
      <c r="B3735" s="40" t="s">
        <v>167</v>
      </c>
      <c r="C3735" s="70">
        <v>45924</v>
      </c>
      <c r="D3735" s="40" t="str">
        <f>VLOOKUP(B3735,辅助信息!E:K,7,FALSE)</f>
        <v>JWDDCD2025102100473</v>
      </c>
      <c r="E3735" s="40" t="str">
        <f>VLOOKUP(F3735,辅助信息!A:B,2,FALSE)</f>
        <v>盘螺</v>
      </c>
      <c r="F3735" s="40" t="s">
        <v>40</v>
      </c>
      <c r="G3735" s="36">
        <v>6</v>
      </c>
      <c r="H3735" s="134">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09"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2" t="str">
        <f ca="1" t="shared" si="198"/>
        <v/>
      </c>
      <c r="P3735" s="62"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3"/>
      <c r="B3736" s="40" t="s">
        <v>167</v>
      </c>
      <c r="C3736" s="70">
        <v>45924</v>
      </c>
      <c r="D3736" s="40" t="str">
        <f>VLOOKUP(B3736,辅助信息!E:K,7,FALSE)</f>
        <v>JWDDCD2025102100473</v>
      </c>
      <c r="E3736" s="40" t="str">
        <f>VLOOKUP(F3736,辅助信息!A:B,2,FALSE)</f>
        <v>盘螺</v>
      </c>
      <c r="F3736" s="40" t="s">
        <v>41</v>
      </c>
      <c r="G3736" s="36">
        <v>10</v>
      </c>
      <c r="H3736" s="134">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09"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2" t="str">
        <f ca="1" t="shared" si="198"/>
        <v/>
      </c>
      <c r="P3736" s="62"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3"/>
      <c r="B3737" s="40" t="s">
        <v>167</v>
      </c>
      <c r="C3737" s="70">
        <v>45924</v>
      </c>
      <c r="D3737" s="40" t="str">
        <f>VLOOKUP(B3737,辅助信息!E:K,7,FALSE)</f>
        <v>JWDDCD2025102100473</v>
      </c>
      <c r="E3737" s="40" t="str">
        <f>VLOOKUP(F3737,辅助信息!A:B,2,FALSE)</f>
        <v>螺纹钢</v>
      </c>
      <c r="F3737" s="40" t="s">
        <v>27</v>
      </c>
      <c r="G3737" s="36">
        <v>30</v>
      </c>
      <c r="H3737" s="134">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09"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2" t="str">
        <f ca="1" t="shared" si="198"/>
        <v/>
      </c>
      <c r="P3737" s="62"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3"/>
      <c r="B3738" s="40" t="s">
        <v>167</v>
      </c>
      <c r="C3738" s="70">
        <v>45924</v>
      </c>
      <c r="D3738" s="40" t="str">
        <f>VLOOKUP(B3738,辅助信息!E:K,7,FALSE)</f>
        <v>JWDDCD2025102100473</v>
      </c>
      <c r="E3738" s="40" t="str">
        <f>VLOOKUP(F3738,辅助信息!A:B,2,FALSE)</f>
        <v>螺纹钢</v>
      </c>
      <c r="F3738" s="40" t="s">
        <v>45</v>
      </c>
      <c r="G3738" s="36">
        <v>6</v>
      </c>
      <c r="H3738" s="134">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09"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2" t="str">
        <f ca="1" t="shared" si="198"/>
        <v/>
      </c>
      <c r="P3738" s="62"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3"/>
      <c r="B3739" s="40" t="s">
        <v>167</v>
      </c>
      <c r="C3739" s="70">
        <v>45924</v>
      </c>
      <c r="D3739" s="40" t="str">
        <f>VLOOKUP(B3739,辅助信息!E:K,7,FALSE)</f>
        <v>JWDDCD2025102100473</v>
      </c>
      <c r="E3739" s="40" t="str">
        <f>VLOOKUP(F3739,辅助信息!A:B,2,FALSE)</f>
        <v>螺纹钢</v>
      </c>
      <c r="F3739" s="40" t="s">
        <v>58</v>
      </c>
      <c r="G3739" s="36">
        <v>6</v>
      </c>
      <c r="H3739" s="134">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09"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2" t="str">
        <f ca="1" t="shared" si="198"/>
        <v/>
      </c>
      <c r="P3739" s="62"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3"/>
      <c r="B3740" s="40" t="s">
        <v>167</v>
      </c>
      <c r="C3740" s="70">
        <v>45924</v>
      </c>
      <c r="D3740" s="40" t="str">
        <f>VLOOKUP(B3740,辅助信息!E:K,7,FALSE)</f>
        <v>JWDDCD2025102100473</v>
      </c>
      <c r="E3740" s="40" t="str">
        <f>VLOOKUP(F3740,辅助信息!A:B,2,FALSE)</f>
        <v>螺纹钢</v>
      </c>
      <c r="F3740" s="40" t="s">
        <v>46</v>
      </c>
      <c r="G3740" s="36">
        <v>6</v>
      </c>
      <c r="H3740" s="134">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09"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2" t="str">
        <f ca="1" t="shared" si="198"/>
        <v/>
      </c>
      <c r="P3740" s="62"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3"/>
      <c r="B3741" s="40" t="s">
        <v>167</v>
      </c>
      <c r="C3741" s="70">
        <v>45924</v>
      </c>
      <c r="D3741" s="40" t="str">
        <f>VLOOKUP(B3741,辅助信息!E:K,7,FALSE)</f>
        <v>JWDDCD2025102100473</v>
      </c>
      <c r="E3741" s="40" t="str">
        <f>VLOOKUP(F3741,辅助信息!A:B,2,FALSE)</f>
        <v>螺纹钢</v>
      </c>
      <c r="F3741" s="40" t="s">
        <v>22</v>
      </c>
      <c r="G3741" s="36">
        <v>30</v>
      </c>
      <c r="H3741" s="134">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09"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2" t="str">
        <f ca="1" t="shared" si="198"/>
        <v/>
      </c>
      <c r="P3741" s="62"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3"/>
      <c r="B3742" s="40" t="s">
        <v>167</v>
      </c>
      <c r="C3742" s="70">
        <v>45924</v>
      </c>
      <c r="D3742" s="40" t="str">
        <f>VLOOKUP(B3742,辅助信息!E:K,7,FALSE)</f>
        <v>JWDDCD2025102100473</v>
      </c>
      <c r="E3742" s="40" t="str">
        <f>VLOOKUP(F3742,辅助信息!A:B,2,FALSE)</f>
        <v>螺纹钢</v>
      </c>
      <c r="F3742" s="40" t="s">
        <v>181</v>
      </c>
      <c r="G3742" s="36">
        <v>15</v>
      </c>
      <c r="H3742" s="134"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09"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2" t="str">
        <f ca="1" t="shared" si="198"/>
        <v/>
      </c>
      <c r="P3742" s="62"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3"/>
      <c r="B3743" s="40" t="s">
        <v>167</v>
      </c>
      <c r="C3743" s="70">
        <v>45924</v>
      </c>
      <c r="D3743" s="40" t="str">
        <f>VLOOKUP(B3743,辅助信息!E:K,7,FALSE)</f>
        <v>JWDDCD2025102100473</v>
      </c>
      <c r="E3743" s="40" t="str">
        <f>VLOOKUP(F3743,辅助信息!A:B,2,FALSE)</f>
        <v>螺纹钢</v>
      </c>
      <c r="F3743" s="40" t="s">
        <v>182</v>
      </c>
      <c r="G3743" s="36">
        <v>30</v>
      </c>
      <c r="H3743" s="134">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09"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2" t="str">
        <f ca="1" t="shared" si="198"/>
        <v/>
      </c>
      <c r="P3743" s="62"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0">
        <v>45924</v>
      </c>
      <c r="D3744" s="40" t="str">
        <f>VLOOKUP(B3744,辅助信息!E:K,7,FALSE)</f>
        <v>JWDDCD2025052800131</v>
      </c>
      <c r="E3744" s="40" t="str">
        <f>VLOOKUP(F3744,辅助信息!A:B,2,FALSE)</f>
        <v>盘螺</v>
      </c>
      <c r="F3744" s="40" t="s">
        <v>49</v>
      </c>
      <c r="G3744" s="36">
        <v>3</v>
      </c>
      <c r="H3744" s="134"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09" t="str">
        <f>VLOOKUP(B3744,辅助信息!E:J,6,FALSE)</f>
        <v>控制炉批号！多了现场不收！,优先安排达钢,提前联系到场规格及数量</v>
      </c>
      <c r="O3744" s="62" t="str">
        <f ca="1" t="shared" ref="O3744:O3807" si="200">IF(OR(M3744="",N3744&lt;&gt;""),"",MAX(M3744-TODAY(),0))</f>
        <v/>
      </c>
      <c r="P3744" s="62"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0">
        <v>45924</v>
      </c>
      <c r="D3745" s="40" t="str">
        <f>VLOOKUP(B3745,辅助信息!E:K,7,FALSE)</f>
        <v>JWDDCD2025052800131</v>
      </c>
      <c r="E3745" s="40" t="str">
        <f>VLOOKUP(F3745,辅助信息!A:B,2,FALSE)</f>
        <v>盘螺</v>
      </c>
      <c r="F3745" s="40" t="s">
        <v>40</v>
      </c>
      <c r="G3745" s="36">
        <v>15</v>
      </c>
      <c r="H3745" s="134"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09" t="str">
        <f>VLOOKUP(B3745,辅助信息!E:J,6,FALSE)</f>
        <v>控制炉批号！多了现场不收！,优先安排达钢,提前联系到场规格及数量</v>
      </c>
      <c r="O3745" s="62" t="str">
        <f ca="1" t="shared" si="200"/>
        <v/>
      </c>
      <c r="P3745" s="62"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0">
        <v>45924</v>
      </c>
      <c r="D3746" s="40" t="str">
        <f>VLOOKUP(B3746,辅助信息!E:K,7,FALSE)</f>
        <v>JWDDCD2025052800131</v>
      </c>
      <c r="E3746" s="40" t="str">
        <f>VLOOKUP(F3746,辅助信息!A:B,2,FALSE)</f>
        <v>盘螺</v>
      </c>
      <c r="F3746" s="40" t="s">
        <v>41</v>
      </c>
      <c r="G3746" s="36">
        <v>9</v>
      </c>
      <c r="H3746" s="134"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09" t="str">
        <f>VLOOKUP(B3746,辅助信息!E:J,6,FALSE)</f>
        <v>控制炉批号！多了现场不收！,优先安排达钢,提前联系到场规格及数量</v>
      </c>
      <c r="O3746" s="62" t="str">
        <f ca="1" t="shared" si="200"/>
        <v/>
      </c>
      <c r="P3746" s="62"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0">
        <v>45924</v>
      </c>
      <c r="D3747" s="40" t="str">
        <f>VLOOKUP(B3747,辅助信息!E:K,7,FALSE)</f>
        <v>JWDDCD2025052800131</v>
      </c>
      <c r="E3747" s="40" t="str">
        <f>VLOOKUP(F3747,辅助信息!A:B,2,FALSE)</f>
        <v>螺纹钢</v>
      </c>
      <c r="F3747" s="40" t="s">
        <v>27</v>
      </c>
      <c r="G3747" s="36">
        <v>9</v>
      </c>
      <c r="H3747" s="134"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09" t="str">
        <f>VLOOKUP(B3747,辅助信息!E:J,6,FALSE)</f>
        <v>控制炉批号！多了现场不收！,优先安排达钢,提前联系到场规格及数量</v>
      </c>
      <c r="O3747" s="62" t="str">
        <f ca="1" t="shared" si="200"/>
        <v/>
      </c>
      <c r="P3747" s="62"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0">
        <v>45924</v>
      </c>
      <c r="D3748" s="40" t="str">
        <f>VLOOKUP(B3748,辅助信息!E:K,7,FALSE)</f>
        <v>JWDDCD2025052800131</v>
      </c>
      <c r="E3748" s="40" t="str">
        <f>VLOOKUP(F3748,辅助信息!A:B,2,FALSE)</f>
        <v>螺纹钢</v>
      </c>
      <c r="F3748" s="40" t="s">
        <v>19</v>
      </c>
      <c r="G3748" s="36">
        <v>3</v>
      </c>
      <c r="H3748" s="134"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09" t="str">
        <f>VLOOKUP(B3748,辅助信息!E:J,6,FALSE)</f>
        <v>控制炉批号！多了现场不收！,优先安排达钢,提前联系到场规格及数量</v>
      </c>
      <c r="O3748" s="62" t="str">
        <f ca="1" t="shared" si="200"/>
        <v/>
      </c>
      <c r="P3748" s="62"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0">
        <v>45924</v>
      </c>
      <c r="D3749" s="40" t="str">
        <f>VLOOKUP(B3749,辅助信息!E:K,7,FALSE)</f>
        <v>JWDDCD2025052800131</v>
      </c>
      <c r="E3749" s="40" t="str">
        <f>VLOOKUP(F3749,辅助信息!A:B,2,FALSE)</f>
        <v>螺纹钢</v>
      </c>
      <c r="F3749" s="40" t="s">
        <v>32</v>
      </c>
      <c r="G3749" s="36">
        <v>9</v>
      </c>
      <c r="H3749" s="134"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09" t="str">
        <f>VLOOKUP(B3749,辅助信息!E:J,6,FALSE)</f>
        <v>控制炉批号！多了现场不收！,优先安排达钢,提前联系到场规格及数量</v>
      </c>
      <c r="O3749" s="62" t="str">
        <f ca="1" t="shared" si="200"/>
        <v/>
      </c>
      <c r="P3749" s="62"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0">
        <v>45924</v>
      </c>
      <c r="D3750" s="40" t="str">
        <f>VLOOKUP(B3750,辅助信息!E:K,7,FALSE)</f>
        <v>JWDDCD2025052800131</v>
      </c>
      <c r="E3750" s="40" t="str">
        <f>VLOOKUP(F3750,辅助信息!A:B,2,FALSE)</f>
        <v>螺纹钢</v>
      </c>
      <c r="F3750" s="40" t="s">
        <v>33</v>
      </c>
      <c r="G3750" s="36">
        <v>6</v>
      </c>
      <c r="H3750" s="134"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09" t="str">
        <f>VLOOKUP(B3750,辅助信息!E:J,6,FALSE)</f>
        <v>控制炉批号！多了现场不收！,优先安排达钢,提前联系到场规格及数量</v>
      </c>
      <c r="O3750" s="62" t="str">
        <f ca="1" t="shared" si="200"/>
        <v/>
      </c>
      <c r="P3750" s="62"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0">
        <v>45924</v>
      </c>
      <c r="D3751" s="40" t="str">
        <f>VLOOKUP(B3751,辅助信息!E:K,7,FALSE)</f>
        <v>JWDDCD2025052800131</v>
      </c>
      <c r="E3751" s="40" t="str">
        <f>VLOOKUP(F3751,辅助信息!A:B,2,FALSE)</f>
        <v>螺纹钢</v>
      </c>
      <c r="F3751" s="40" t="s">
        <v>28</v>
      </c>
      <c r="G3751" s="36">
        <v>27</v>
      </c>
      <c r="H3751" s="134"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09" t="str">
        <f>VLOOKUP(B3751,辅助信息!E:J,6,FALSE)</f>
        <v>控制炉批号！多了现场不收！,优先安排达钢,提前联系到场规格及数量</v>
      </c>
      <c r="O3751" s="62" t="str">
        <f ca="1" t="shared" si="200"/>
        <v/>
      </c>
      <c r="P3751" s="62"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0">
        <v>45924</v>
      </c>
      <c r="D3752" s="40" t="str">
        <f>VLOOKUP(B3752,辅助信息!E:K,7,FALSE)</f>
        <v>JWDDCD2025052800131</v>
      </c>
      <c r="E3752" s="40" t="str">
        <f>VLOOKUP(F3752,辅助信息!A:B,2,FALSE)</f>
        <v>螺纹钢</v>
      </c>
      <c r="F3752" s="40" t="s">
        <v>18</v>
      </c>
      <c r="G3752" s="36">
        <v>9</v>
      </c>
      <c r="H3752" s="134"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09" t="str">
        <f>VLOOKUP(B3752,辅助信息!E:J,6,FALSE)</f>
        <v>控制炉批号！多了现场不收！,优先安排达钢,提前联系到场规格及数量</v>
      </c>
      <c r="O3752" s="62" t="str">
        <f ca="1" t="shared" si="200"/>
        <v/>
      </c>
      <c r="P3752" s="62"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0">
        <v>45924</v>
      </c>
      <c r="D3753" s="40" t="str">
        <f>VLOOKUP(B3753,辅助信息!E:K,7,FALSE)</f>
        <v>JWDDCD2025092400188</v>
      </c>
      <c r="E3753" s="40" t="str">
        <f>VLOOKUP(F3753,辅助信息!A:B,2,FALSE)</f>
        <v>盘螺</v>
      </c>
      <c r="F3753" s="40" t="s">
        <v>40</v>
      </c>
      <c r="G3753" s="36">
        <v>15</v>
      </c>
      <c r="H3753" s="134">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09">
        <f>VLOOKUP(B3753,辅助信息!E:J,6,FALSE)</f>
        <v>0</v>
      </c>
      <c r="O3753" s="62" t="str">
        <f ca="1" t="shared" si="200"/>
        <v/>
      </c>
      <c r="P3753" s="62"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0">
        <v>45924</v>
      </c>
      <c r="D3754" s="40" t="str">
        <f>VLOOKUP(B3754,辅助信息!E:K,7,FALSE)</f>
        <v>JWDDCD2025092400188</v>
      </c>
      <c r="E3754" s="40" t="str">
        <f>VLOOKUP(F3754,辅助信息!A:B,2,FALSE)</f>
        <v>盘螺</v>
      </c>
      <c r="F3754" s="40" t="s">
        <v>41</v>
      </c>
      <c r="G3754" s="36">
        <v>20</v>
      </c>
      <c r="H3754" s="134">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09">
        <f>VLOOKUP(B3754,辅助信息!E:J,6,FALSE)</f>
        <v>0</v>
      </c>
      <c r="O3754" s="62" t="str">
        <f ca="1" t="shared" si="200"/>
        <v/>
      </c>
      <c r="P3754" s="62"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0">
        <v>45924</v>
      </c>
      <c r="D3755" s="40" t="str">
        <f>VLOOKUP(B3755,辅助信息!E:K,7,FALSE)</f>
        <v>JWDDCD2025092400188</v>
      </c>
      <c r="E3755" s="40" t="str">
        <f>VLOOKUP(F3755,辅助信息!A:B,2,FALSE)</f>
        <v>螺纹钢</v>
      </c>
      <c r="F3755" s="40" t="s">
        <v>27</v>
      </c>
      <c r="G3755" s="36">
        <v>20</v>
      </c>
      <c r="H3755" s="134">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09">
        <f>VLOOKUP(B3755,辅助信息!E:J,6,FALSE)</f>
        <v>0</v>
      </c>
      <c r="O3755" s="62" t="str">
        <f ca="1" t="shared" si="200"/>
        <v/>
      </c>
      <c r="P3755" s="62"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0">
        <v>45924</v>
      </c>
      <c r="D3756" s="40" t="str">
        <f>VLOOKUP(B3756,辅助信息!E:K,7,FALSE)</f>
        <v>JWDDCD2025092400188</v>
      </c>
      <c r="E3756" s="40" t="str">
        <f>VLOOKUP(F3756,辅助信息!A:B,2,FALSE)</f>
        <v>螺纹钢</v>
      </c>
      <c r="F3756" s="40" t="s">
        <v>19</v>
      </c>
      <c r="G3756" s="36">
        <v>10</v>
      </c>
      <c r="H3756" s="134">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09">
        <f>VLOOKUP(B3756,辅助信息!E:J,6,FALSE)</f>
        <v>0</v>
      </c>
      <c r="O3756" s="62" t="str">
        <f ca="1" t="shared" si="200"/>
        <v/>
      </c>
      <c r="P3756" s="62"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0">
        <v>45924</v>
      </c>
      <c r="D3757" s="40" t="str">
        <f>VLOOKUP(B3757,辅助信息!E:K,7,FALSE)</f>
        <v>JWDDCD2025092400188</v>
      </c>
      <c r="E3757" s="40" t="str">
        <f>VLOOKUP(F3757,辅助信息!A:B,2,FALSE)</f>
        <v>螺纹钢</v>
      </c>
      <c r="F3757" s="40" t="s">
        <v>32</v>
      </c>
      <c r="G3757" s="36">
        <v>10</v>
      </c>
      <c r="H3757" s="134">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09">
        <f>VLOOKUP(B3757,辅助信息!E:J,6,FALSE)</f>
        <v>0</v>
      </c>
      <c r="O3757" s="62" t="str">
        <f ca="1" t="shared" si="200"/>
        <v/>
      </c>
      <c r="P3757" s="62"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0">
        <v>45924</v>
      </c>
      <c r="D3758" s="40" t="str">
        <f>VLOOKUP(B3758,辅助信息!E:K,7,FALSE)</f>
        <v>JWDDCD2025092400188</v>
      </c>
      <c r="E3758" s="40" t="str">
        <f>VLOOKUP(F3758,辅助信息!A:B,2,FALSE)</f>
        <v>螺纹钢</v>
      </c>
      <c r="F3758" s="40" t="s">
        <v>30</v>
      </c>
      <c r="G3758" s="36">
        <v>10</v>
      </c>
      <c r="H3758" s="134">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09">
        <f>VLOOKUP(B3758,辅助信息!E:J,6,FALSE)</f>
        <v>0</v>
      </c>
      <c r="O3758" s="62" t="str">
        <f ca="1" t="shared" si="200"/>
        <v/>
      </c>
      <c r="P3758" s="62"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0">
        <v>45924</v>
      </c>
      <c r="D3759" s="40" t="str">
        <f>VLOOKUP(B3759,辅助信息!E:K,7,FALSE)</f>
        <v>JWDDCD2025092400188</v>
      </c>
      <c r="E3759" s="40" t="str">
        <f>VLOOKUP(F3759,辅助信息!A:B,2,FALSE)</f>
        <v>螺纹钢</v>
      </c>
      <c r="F3759" s="40" t="s">
        <v>33</v>
      </c>
      <c r="G3759" s="36">
        <v>5</v>
      </c>
      <c r="H3759" s="134">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09">
        <f>VLOOKUP(B3759,辅助信息!E:J,6,FALSE)</f>
        <v>0</v>
      </c>
      <c r="O3759" s="62" t="str">
        <f ca="1" t="shared" si="200"/>
        <v/>
      </c>
      <c r="P3759" s="62"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0">
        <v>45924</v>
      </c>
      <c r="D3760" s="40" t="str">
        <f>VLOOKUP(B3760,辅助信息!E:K,7,FALSE)</f>
        <v>JWDDCD2025092400188</v>
      </c>
      <c r="E3760" s="40" t="str">
        <f>VLOOKUP(F3760,辅助信息!A:B,2,FALSE)</f>
        <v>螺纹钢</v>
      </c>
      <c r="F3760" s="40" t="s">
        <v>28</v>
      </c>
      <c r="G3760" s="36">
        <v>5</v>
      </c>
      <c r="H3760" s="134">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09">
        <f>VLOOKUP(B3760,辅助信息!E:J,6,FALSE)</f>
        <v>0</v>
      </c>
      <c r="O3760" s="62" t="str">
        <f ca="1" t="shared" si="200"/>
        <v/>
      </c>
      <c r="P3760" s="62"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0">
        <v>45924</v>
      </c>
      <c r="D3761" s="40" t="str">
        <f>VLOOKUP(B3761,辅助信息!E:K,7,FALSE)</f>
        <v>JWDDCD2025092400188</v>
      </c>
      <c r="E3761" s="40" t="str">
        <f>VLOOKUP(F3761,辅助信息!A:B,2,FALSE)</f>
        <v>螺纹钢</v>
      </c>
      <c r="F3761" s="40" t="s">
        <v>18</v>
      </c>
      <c r="G3761" s="36">
        <v>10</v>
      </c>
      <c r="H3761" s="134">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09">
        <f>VLOOKUP(B3761,辅助信息!E:J,6,FALSE)</f>
        <v>0</v>
      </c>
      <c r="O3761" s="62" t="str">
        <f ca="1" t="shared" si="200"/>
        <v/>
      </c>
      <c r="P3761" s="62"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0">
        <v>45924</v>
      </c>
      <c r="D3762" s="40" t="str">
        <f>VLOOKUP(B3762,辅助信息!E:K,7,FALSE)</f>
        <v>JWDDCD2025092400210</v>
      </c>
      <c r="E3762" s="40" t="str">
        <f>VLOOKUP(F3762,辅助信息!A:B,2,FALSE)</f>
        <v>盘螺</v>
      </c>
      <c r="F3762" s="40" t="s">
        <v>40</v>
      </c>
      <c r="G3762" s="36">
        <v>10</v>
      </c>
      <c r="H3762" s="134">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09">
        <f>VLOOKUP(B3762,辅助信息!E:J,6,FALSE)</f>
        <v>0</v>
      </c>
      <c r="O3762" s="62" t="str">
        <f ca="1" t="shared" si="200"/>
        <v/>
      </c>
      <c r="P3762" s="62"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0">
        <v>45924</v>
      </c>
      <c r="D3763" s="40" t="str">
        <f>VLOOKUP(B3763,辅助信息!E:K,7,FALSE)</f>
        <v>JWDDCD2025092400210</v>
      </c>
      <c r="E3763" s="40" t="str">
        <f>VLOOKUP(F3763,辅助信息!A:B,2,FALSE)</f>
        <v>盘螺</v>
      </c>
      <c r="F3763" s="40" t="s">
        <v>41</v>
      </c>
      <c r="G3763" s="36">
        <v>40</v>
      </c>
      <c r="H3763" s="134">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09">
        <f>VLOOKUP(B3763,辅助信息!E:J,6,FALSE)</f>
        <v>0</v>
      </c>
      <c r="O3763" s="62" t="str">
        <f ca="1" t="shared" si="200"/>
        <v/>
      </c>
      <c r="P3763" s="62"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0">
        <v>45924</v>
      </c>
      <c r="D3764" s="40" t="str">
        <f>VLOOKUP(B3764,辅助信息!E:K,7,FALSE)</f>
        <v>JWDDCD2025092400210</v>
      </c>
      <c r="E3764" s="40" t="str">
        <f>VLOOKUP(F3764,辅助信息!A:B,2,FALSE)</f>
        <v>螺纹钢</v>
      </c>
      <c r="F3764" s="40" t="s">
        <v>27</v>
      </c>
      <c r="G3764" s="36">
        <v>65</v>
      </c>
      <c r="H3764" s="134">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09">
        <f>VLOOKUP(B3764,辅助信息!E:J,6,FALSE)</f>
        <v>0</v>
      </c>
      <c r="O3764" s="62" t="str">
        <f ca="1" t="shared" si="200"/>
        <v/>
      </c>
      <c r="P3764" s="62"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0">
        <v>45924</v>
      </c>
      <c r="D3765" s="40" t="str">
        <f>VLOOKUP(B3765,辅助信息!E:K,7,FALSE)</f>
        <v>JWDDCD2025092400210</v>
      </c>
      <c r="E3765" s="40" t="str">
        <f>VLOOKUP(F3765,辅助信息!A:B,2,FALSE)</f>
        <v>螺纹钢</v>
      </c>
      <c r="F3765" s="40" t="s">
        <v>19</v>
      </c>
      <c r="G3765" s="36">
        <v>15</v>
      </c>
      <c r="H3765" s="134">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09">
        <f>VLOOKUP(B3765,辅助信息!E:J,6,FALSE)</f>
        <v>0</v>
      </c>
      <c r="O3765" s="62" t="str">
        <f ca="1" t="shared" si="200"/>
        <v/>
      </c>
      <c r="P3765" s="62"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0">
        <v>45924</v>
      </c>
      <c r="D3766" s="40" t="str">
        <f>VLOOKUP(B3766,辅助信息!E:K,7,FALSE)</f>
        <v>JWDDCD2025092400210</v>
      </c>
      <c r="E3766" s="40" t="str">
        <f>VLOOKUP(F3766,辅助信息!A:B,2,FALSE)</f>
        <v>螺纹钢</v>
      </c>
      <c r="F3766" s="40" t="s">
        <v>33</v>
      </c>
      <c r="G3766" s="36">
        <v>19</v>
      </c>
      <c r="H3766" s="134">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09">
        <f>VLOOKUP(B3766,辅助信息!E:J,6,FALSE)</f>
        <v>0</v>
      </c>
      <c r="O3766" s="62" t="str">
        <f ca="1" t="shared" si="200"/>
        <v/>
      </c>
      <c r="P3766" s="62"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0">
        <v>45924</v>
      </c>
      <c r="D3767" s="40" t="str">
        <f>VLOOKUP(B3767,辅助信息!E:K,7,FALSE)</f>
        <v>JWDDCD2025092400210</v>
      </c>
      <c r="E3767" s="40" t="str">
        <f>VLOOKUP(F3767,辅助信息!A:B,2,FALSE)</f>
        <v>螺纹钢</v>
      </c>
      <c r="F3767" s="40" t="s">
        <v>18</v>
      </c>
      <c r="G3767" s="36">
        <v>8</v>
      </c>
      <c r="H3767" s="134">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09">
        <f>VLOOKUP(B3767,辅助信息!E:J,6,FALSE)</f>
        <v>0</v>
      </c>
      <c r="O3767" s="62" t="str">
        <f ca="1" t="shared" si="200"/>
        <v/>
      </c>
      <c r="P3767" s="62"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0">
        <v>45924</v>
      </c>
      <c r="D3768" s="40" t="str">
        <f>VLOOKUP(B3768,辅助信息!E:K,7,FALSE)</f>
        <v>JWDDCD2025092400210</v>
      </c>
      <c r="E3768" s="40" t="str">
        <f>VLOOKUP(F3768,辅助信息!A:B,2,FALSE)</f>
        <v>螺纹钢</v>
      </c>
      <c r="F3768" s="40" t="s">
        <v>21</v>
      </c>
      <c r="G3768" s="36">
        <v>2</v>
      </c>
      <c r="H3768" s="134">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09">
        <f>VLOOKUP(B3768,辅助信息!E:J,6,FALSE)</f>
        <v>0</v>
      </c>
      <c r="O3768" s="62" t="str">
        <f ca="1" t="shared" si="200"/>
        <v/>
      </c>
      <c r="P3768" s="62"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0">
        <v>45924</v>
      </c>
      <c r="D3769" s="40" t="str">
        <f>VLOOKUP(B3769,辅助信息!E:K,7,FALSE)</f>
        <v>JWDDCD2025092400210</v>
      </c>
      <c r="E3769" s="40" t="str">
        <f>VLOOKUP(F3769,辅助信息!A:B,2,FALSE)</f>
        <v>螺纹钢</v>
      </c>
      <c r="F3769" s="40" t="s">
        <v>58</v>
      </c>
      <c r="G3769" s="36">
        <v>3</v>
      </c>
      <c r="H3769" s="134">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09">
        <f>VLOOKUP(B3769,辅助信息!E:J,6,FALSE)</f>
        <v>0</v>
      </c>
      <c r="O3769" s="62" t="str">
        <f ca="1" t="shared" si="200"/>
        <v/>
      </c>
      <c r="P3769" s="62"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0">
        <v>45924</v>
      </c>
      <c r="D3770" s="40" t="str">
        <f>VLOOKUP(B3770,辅助信息!E:K,7,FALSE)</f>
        <v>JWDDCD2025092400210</v>
      </c>
      <c r="E3770" s="40" t="str">
        <f>VLOOKUP(F3770,辅助信息!A:B,2,FALSE)</f>
        <v>螺纹钢</v>
      </c>
      <c r="F3770" s="40" t="s">
        <v>46</v>
      </c>
      <c r="G3770" s="36">
        <v>8</v>
      </c>
      <c r="H3770" s="134">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09">
        <f>VLOOKUP(B3770,辅助信息!E:J,6,FALSE)</f>
        <v>0</v>
      </c>
      <c r="O3770" s="62" t="str">
        <f ca="1" t="shared" si="200"/>
        <v/>
      </c>
      <c r="P3770" s="62"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0">
        <v>45924</v>
      </c>
      <c r="D3771" s="40" t="str">
        <f>VLOOKUP(B3771,辅助信息!E:K,7,FALSE)</f>
        <v>JWDDCD2025092400210</v>
      </c>
      <c r="E3771" s="40" t="str">
        <f>VLOOKUP(F3771,辅助信息!A:B,2,FALSE)</f>
        <v>螺纹钢</v>
      </c>
      <c r="F3771" s="40" t="s">
        <v>22</v>
      </c>
      <c r="G3771" s="36">
        <v>5</v>
      </c>
      <c r="H3771" s="134">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09">
        <f>VLOOKUP(B3771,辅助信息!E:J,6,FALSE)</f>
        <v>0</v>
      </c>
      <c r="O3771" s="62" t="str">
        <f ca="1" t="shared" si="200"/>
        <v/>
      </c>
      <c r="P3771" s="62"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0">
        <v>45924</v>
      </c>
      <c r="D3772" s="40" t="str">
        <f>VLOOKUP(B3772,辅助信息!E:K,7,FALSE)</f>
        <v>JWDDCD2025092400211</v>
      </c>
      <c r="E3772" s="40" t="str">
        <f>VLOOKUP(F3772,辅助信息!A:B,2,FALSE)</f>
        <v>盘螺</v>
      </c>
      <c r="F3772" s="40" t="s">
        <v>49</v>
      </c>
      <c r="G3772" s="36">
        <v>25</v>
      </c>
      <c r="H3772" s="134">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09">
        <f>VLOOKUP(B3772,辅助信息!E:J,6,FALSE)</f>
        <v>0</v>
      </c>
      <c r="O3772" s="62" t="str">
        <f ca="1" t="shared" si="200"/>
        <v/>
      </c>
      <c r="P3772" s="62"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0">
        <v>45924</v>
      </c>
      <c r="D3773" s="40" t="str">
        <f>VLOOKUP(B3773,辅助信息!E:K,7,FALSE)</f>
        <v>JWDDCD2025092400211</v>
      </c>
      <c r="E3773" s="40" t="str">
        <f>VLOOKUP(F3773,辅助信息!A:B,2,FALSE)</f>
        <v>盘螺</v>
      </c>
      <c r="F3773" s="40" t="s">
        <v>40</v>
      </c>
      <c r="G3773" s="36">
        <v>45</v>
      </c>
      <c r="H3773" s="134">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09">
        <f>VLOOKUP(B3773,辅助信息!E:J,6,FALSE)</f>
        <v>0</v>
      </c>
      <c r="O3773" s="62" t="str">
        <f ca="1" t="shared" si="200"/>
        <v/>
      </c>
      <c r="P3773" s="62"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0">
        <v>45924</v>
      </c>
      <c r="D3774" s="40" t="str">
        <f>VLOOKUP(B3774,辅助信息!E:K,7,FALSE)</f>
        <v>JWDDCD2025092400211</v>
      </c>
      <c r="E3774" s="40" t="str">
        <f>VLOOKUP(F3774,辅助信息!A:B,2,FALSE)</f>
        <v>螺纹钢</v>
      </c>
      <c r="F3774" s="40" t="s">
        <v>27</v>
      </c>
      <c r="G3774" s="36">
        <v>35</v>
      </c>
      <c r="H3774" s="134">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09">
        <f>VLOOKUP(B3774,辅助信息!E:J,6,FALSE)</f>
        <v>0</v>
      </c>
      <c r="O3774" s="62" t="str">
        <f ca="1" t="shared" si="200"/>
        <v/>
      </c>
      <c r="P3774" s="62"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0">
        <v>45924</v>
      </c>
      <c r="D3775" s="40" t="str">
        <f>VLOOKUP(B3775,辅助信息!E:K,7,FALSE)</f>
        <v>JWDDCD2025092400211</v>
      </c>
      <c r="E3775" s="40" t="str">
        <f>VLOOKUP(F3775,辅助信息!A:B,2,FALSE)</f>
        <v>螺纹钢</v>
      </c>
      <c r="F3775" s="40" t="s">
        <v>19</v>
      </c>
      <c r="G3775" s="36">
        <v>35</v>
      </c>
      <c r="H3775" s="134">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09">
        <f>VLOOKUP(B3775,辅助信息!E:J,6,FALSE)</f>
        <v>0</v>
      </c>
      <c r="O3775" s="62" t="str">
        <f ca="1" t="shared" si="200"/>
        <v/>
      </c>
      <c r="P3775" s="62"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0">
        <v>45924</v>
      </c>
      <c r="D3776" s="40" t="str">
        <f>VLOOKUP(B3776,辅助信息!E:K,7,FALSE)</f>
        <v>JWDDCD2025092400211</v>
      </c>
      <c r="E3776" s="40" t="str">
        <f>VLOOKUP(F3776,辅助信息!A:B,2,FALSE)</f>
        <v>螺纹钢</v>
      </c>
      <c r="F3776" s="40" t="s">
        <v>30</v>
      </c>
      <c r="G3776" s="36">
        <v>35</v>
      </c>
      <c r="H3776" s="134">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09">
        <f>VLOOKUP(B3776,辅助信息!E:J,6,FALSE)</f>
        <v>0</v>
      </c>
      <c r="O3776" s="62" t="str">
        <f ca="1" t="shared" si="200"/>
        <v/>
      </c>
      <c r="P3776" s="62"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0">
        <v>45924</v>
      </c>
      <c r="D3777" s="40" t="str">
        <f>VLOOKUP(B3777,辅助信息!E:K,7,FALSE)</f>
        <v>JWDDCD2025050800101</v>
      </c>
      <c r="E3777" s="40" t="str">
        <f>VLOOKUP(F3777,辅助信息!A:B,2,FALSE)</f>
        <v>螺纹钢</v>
      </c>
      <c r="F3777" s="40" t="s">
        <v>32</v>
      </c>
      <c r="G3777" s="36">
        <v>9</v>
      </c>
      <c r="H3777" s="134"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09" t="str">
        <f>VLOOKUP(B3777,辅助信息!E:J,6,FALSE)</f>
        <v>装货前联系收货人核实到场规格，货物最下面用方木垫下方便卸货</v>
      </c>
      <c r="O3777" s="62" t="str">
        <f ca="1" t="shared" si="200"/>
        <v/>
      </c>
      <c r="P3777" s="62"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0">
        <v>45924</v>
      </c>
      <c r="D3778" s="40" t="str">
        <f>VLOOKUP(B3778,辅助信息!E:K,7,FALSE)</f>
        <v>JWDDCD2025050800101</v>
      </c>
      <c r="E3778" s="40" t="str">
        <f>VLOOKUP(F3778,辅助信息!A:B,2,FALSE)</f>
        <v>螺纹钢</v>
      </c>
      <c r="F3778" s="40" t="s">
        <v>33</v>
      </c>
      <c r="G3778" s="36">
        <v>6</v>
      </c>
      <c r="H3778" s="134"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09" t="str">
        <f>VLOOKUP(B3778,辅助信息!E:J,6,FALSE)</f>
        <v>装货前联系收货人核实到场规格，货物最下面用方木垫下方便卸货</v>
      </c>
      <c r="O3778" s="62" t="str">
        <f ca="1" t="shared" si="200"/>
        <v/>
      </c>
      <c r="P3778" s="62"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0">
        <v>45924</v>
      </c>
      <c r="D3779" s="40" t="str">
        <f>VLOOKUP(B3779,辅助信息!E:K,7,FALSE)</f>
        <v>JWDDCD2025050800101</v>
      </c>
      <c r="E3779" s="40" t="str">
        <f>VLOOKUP(F3779,辅助信息!A:B,2,FALSE)</f>
        <v>螺纹钢</v>
      </c>
      <c r="F3779" s="40" t="s">
        <v>65</v>
      </c>
      <c r="G3779" s="36">
        <v>15</v>
      </c>
      <c r="H3779" s="134"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09" t="str">
        <f>VLOOKUP(B3779,辅助信息!E:J,6,FALSE)</f>
        <v>装货前联系收货人核实到场规格，货物最下面用方木垫下方便卸货</v>
      </c>
      <c r="O3779" s="62" t="str">
        <f ca="1" t="shared" si="200"/>
        <v/>
      </c>
      <c r="P3779" s="62"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0">
        <v>45924</v>
      </c>
      <c r="D3780" s="40" t="str">
        <f>VLOOKUP(B3780,辅助信息!E:K,7,FALSE)</f>
        <v>JWDDCD2025050800101</v>
      </c>
      <c r="E3780" s="40" t="str">
        <f>VLOOKUP(F3780,辅助信息!A:B,2,FALSE)</f>
        <v>盘螺</v>
      </c>
      <c r="F3780" s="40" t="s">
        <v>41</v>
      </c>
      <c r="G3780" s="36">
        <v>10</v>
      </c>
      <c r="H3780" s="134"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09" t="str">
        <f>VLOOKUP(B3780,辅助信息!E:J,6,FALSE)</f>
        <v>装货前联系收货人核实到场规格，货物最下面用方木垫下方便卸货</v>
      </c>
      <c r="O3780" s="62" t="str">
        <f ca="1" t="shared" si="200"/>
        <v/>
      </c>
      <c r="P3780" s="62"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0">
        <v>45924</v>
      </c>
      <c r="D3781" s="40" t="str">
        <f>VLOOKUP(B3781,辅助信息!E:K,7,FALSE)</f>
        <v>JWDDCD2025050800101</v>
      </c>
      <c r="E3781" s="40" t="str">
        <f>VLOOKUP(F3781,辅助信息!A:B,2,FALSE)</f>
        <v>盘螺</v>
      </c>
      <c r="F3781" s="40" t="s">
        <v>26</v>
      </c>
      <c r="G3781" s="36">
        <v>30</v>
      </c>
      <c r="H3781" s="134"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09" t="str">
        <f>VLOOKUP(B3781,辅助信息!E:J,6,FALSE)</f>
        <v>装货前联系收货人核实到场规格，货物最下面用方木垫下方便卸货</v>
      </c>
      <c r="O3781" s="62" t="str">
        <f ca="1" t="shared" si="200"/>
        <v/>
      </c>
      <c r="P3781" s="62"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0" t="s">
        <v>163</v>
      </c>
      <c r="C3782" s="70">
        <v>45925</v>
      </c>
      <c r="D3782" s="120" t="str">
        <f>VLOOKUP(B3782,辅助信息!E:K,7,FALSE)</f>
        <v>JWDDCD2025052800131</v>
      </c>
      <c r="E3782" s="120" t="str">
        <f>VLOOKUP(F3782,辅助信息!A:B,2,FALSE)</f>
        <v>盘螺</v>
      </c>
      <c r="F3782" s="120" t="s">
        <v>49</v>
      </c>
      <c r="G3782" s="121">
        <v>6</v>
      </c>
      <c r="H3782" s="134">
        <f>IF(SUMIFS('[1]2025年已发货'!$E:$E,'[1]2025年已发货'!$F:$F,C3782,'[1]2025年已发货'!$C:$C,F3782,'[1]2025年已发货'!$G:$G,I3782,'[1]2025年已发货'!$H:$H,J3782)=0,"未发货",SUMIFS('[1]2025年已发货'!$E:$E,'[1]2025年已发货'!$F:$F,C3782,'[1]2025年已发货'!$C:$C,F3782,'[1]2025年已发货'!$G:$G,I3782,'[1]2025年已发货'!$H:$H,J3782))</f>
        <v>6</v>
      </c>
      <c r="I3782" s="120" t="str">
        <f>VLOOKUP(B3782,辅助信息!E:I,3,FALSE)</f>
        <v>（商投建工达州中医药科技园-4工区-9号楼）达州市通川区达州中医药职业学院犀牛大道北段</v>
      </c>
      <c r="J3782" s="120" t="str">
        <f>VLOOKUP(B3782,辅助信息!E:I,4,FALSE)</f>
        <v>张扬</v>
      </c>
      <c r="K3782" s="120">
        <f>VLOOKUP(J3782,辅助信息!H:I,2,FALSE)</f>
        <v>18381904567</v>
      </c>
      <c r="L3782" s="122" t="str">
        <f>VLOOKUP(B3782,辅助信息!E:J,6,FALSE)</f>
        <v>控制炉批号！多了现场不收！,优先安排达钢,提前联系到场规格及数量</v>
      </c>
      <c r="M3782" s="91"/>
      <c r="O3782" s="62" t="str">
        <f ca="1" t="shared" si="200"/>
        <v/>
      </c>
      <c r="P3782" s="62"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0" t="s">
        <v>163</v>
      </c>
      <c r="C3783" s="70">
        <v>45925</v>
      </c>
      <c r="D3783" s="120" t="str">
        <f>VLOOKUP(B3783,辅助信息!E:K,7,FALSE)</f>
        <v>JWDDCD2025052800131</v>
      </c>
      <c r="E3783" s="120" t="str">
        <f>VLOOKUP(F3783,辅助信息!A:B,2,FALSE)</f>
        <v>盘螺</v>
      </c>
      <c r="F3783" s="120" t="s">
        <v>40</v>
      </c>
      <c r="G3783" s="121">
        <f>47-26</f>
        <v>21</v>
      </c>
      <c r="H3783" s="134">
        <f>IF(SUMIFS('[1]2025年已发货'!$E:$E,'[1]2025年已发货'!$F:$F,C3783,'[1]2025年已发货'!$C:$C,F3783,'[1]2025年已发货'!$G:$G,I3783,'[1]2025年已发货'!$H:$H,J3783)=0,"未发货",SUMIFS('[1]2025年已发货'!$E:$E,'[1]2025年已发货'!$F:$F,C3783,'[1]2025年已发货'!$C:$C,F3783,'[1]2025年已发货'!$G:$G,I3783,'[1]2025年已发货'!$H:$H,J3783))</f>
        <v>21</v>
      </c>
      <c r="I3783" s="120" t="str">
        <f>VLOOKUP(B3783,辅助信息!E:I,3,FALSE)</f>
        <v>（商投建工达州中医药科技园-4工区-9号楼）达州市通川区达州中医药职业学院犀牛大道北段</v>
      </c>
      <c r="J3783" s="120" t="str">
        <f>VLOOKUP(B3783,辅助信息!E:I,4,FALSE)</f>
        <v>张扬</v>
      </c>
      <c r="K3783" s="120">
        <f>VLOOKUP(J3783,辅助信息!H:I,2,FALSE)</f>
        <v>18381904567</v>
      </c>
      <c r="L3783" s="122" t="str">
        <f>VLOOKUP(B3783,辅助信息!E:J,6,FALSE)</f>
        <v>控制炉批号！多了现场不收！,优先安排达钢,提前联系到场规格及数量</v>
      </c>
      <c r="M3783" s="91">
        <v>45922</v>
      </c>
      <c r="O3783" s="62">
        <f ca="1" t="shared" si="200"/>
        <v>0</v>
      </c>
      <c r="P3783" s="62">
        <f ca="1" t="shared" si="201"/>
        <v>38</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0" t="s">
        <v>163</v>
      </c>
      <c r="C3784" s="70">
        <v>45925</v>
      </c>
      <c r="D3784" s="120" t="str">
        <f>VLOOKUP(B3784,辅助信息!E:K,7,FALSE)</f>
        <v>JWDDCD2025052800131</v>
      </c>
      <c r="E3784" s="120" t="str">
        <f>VLOOKUP(F3784,辅助信息!A:B,2,FALSE)</f>
        <v>盘螺</v>
      </c>
      <c r="F3784" s="120" t="s">
        <v>41</v>
      </c>
      <c r="G3784" s="121">
        <v>10</v>
      </c>
      <c r="H3784" s="134">
        <f>IF(SUMIFS('[1]2025年已发货'!$E:$E,'[1]2025年已发货'!$F:$F,C3784,'[1]2025年已发货'!$C:$C,F3784,'[1]2025年已发货'!$G:$G,I3784,'[1]2025年已发货'!$H:$H,J3784)=0,"未发货",SUMIFS('[1]2025年已发货'!$E:$E,'[1]2025年已发货'!$F:$F,C3784,'[1]2025年已发货'!$C:$C,F3784,'[1]2025年已发货'!$G:$G,I3784,'[1]2025年已发货'!$H:$H,J3784))</f>
        <v>10</v>
      </c>
      <c r="I3784" s="120" t="str">
        <f>VLOOKUP(B3784,辅助信息!E:I,3,FALSE)</f>
        <v>（商投建工达州中医药科技园-4工区-9号楼）达州市通川区达州中医药职业学院犀牛大道北段</v>
      </c>
      <c r="J3784" s="120" t="str">
        <f>VLOOKUP(B3784,辅助信息!E:I,4,FALSE)</f>
        <v>张扬</v>
      </c>
      <c r="K3784" s="120">
        <f>VLOOKUP(J3784,辅助信息!H:I,2,FALSE)</f>
        <v>18381904567</v>
      </c>
      <c r="L3784" s="122" t="str">
        <f>VLOOKUP(B3784,辅助信息!E:J,6,FALSE)</f>
        <v>控制炉批号！多了现场不收！,优先安排达钢,提前联系到场规格及数量</v>
      </c>
      <c r="M3784" s="91">
        <v>45922</v>
      </c>
      <c r="O3784" s="62">
        <f ca="1" t="shared" si="200"/>
        <v>0</v>
      </c>
      <c r="P3784" s="62">
        <f ca="1" t="shared" si="201"/>
        <v>38</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0" t="s">
        <v>163</v>
      </c>
      <c r="C3785" s="70">
        <v>45925</v>
      </c>
      <c r="D3785" s="120" t="str">
        <f>VLOOKUP(B3785,辅助信息!E:K,7,FALSE)</f>
        <v>JWDDCD2025052800131</v>
      </c>
      <c r="E3785" s="120" t="str">
        <f>VLOOKUP(F3785,辅助信息!A:B,2,FALSE)</f>
        <v>螺纹钢</v>
      </c>
      <c r="F3785" s="120" t="s">
        <v>58</v>
      </c>
      <c r="G3785" s="121">
        <v>15</v>
      </c>
      <c r="H3785" s="134"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0" t="str">
        <f>VLOOKUP(B3785,辅助信息!E:I,3,FALSE)</f>
        <v>（商投建工达州中医药科技园-4工区-9号楼）达州市通川区达州中医药职业学院犀牛大道北段</v>
      </c>
      <c r="J3785" s="120" t="str">
        <f>VLOOKUP(B3785,辅助信息!E:I,4,FALSE)</f>
        <v>张扬</v>
      </c>
      <c r="K3785" s="120">
        <f>VLOOKUP(J3785,辅助信息!H:I,2,FALSE)</f>
        <v>18381904567</v>
      </c>
      <c r="L3785" s="122" t="str">
        <f>VLOOKUP(B3785,辅助信息!E:J,6,FALSE)</f>
        <v>控制炉批号！多了现场不收！,优先安排达钢,提前联系到场规格及数量</v>
      </c>
      <c r="M3785" s="91"/>
      <c r="O3785" s="62" t="str">
        <f ca="1" t="shared" si="200"/>
        <v/>
      </c>
      <c r="P3785" s="62"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0" t="s">
        <v>163</v>
      </c>
      <c r="C3786" s="70">
        <v>45925</v>
      </c>
      <c r="D3786" s="120" t="str">
        <f>VLOOKUP(B3786,辅助信息!E:K,7,FALSE)</f>
        <v>JWDDCD2025052800131</v>
      </c>
      <c r="E3786" s="120" t="str">
        <f>VLOOKUP(F3786,辅助信息!A:B,2,FALSE)</f>
        <v>螺纹钢</v>
      </c>
      <c r="F3786" s="120" t="s">
        <v>46</v>
      </c>
      <c r="G3786" s="121">
        <v>9</v>
      </c>
      <c r="H3786" s="134"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0" t="str">
        <f>VLOOKUP(B3786,辅助信息!E:I,3,FALSE)</f>
        <v>（商投建工达州中医药科技园-4工区-9号楼）达州市通川区达州中医药职业学院犀牛大道北段</v>
      </c>
      <c r="J3786" s="120" t="str">
        <f>VLOOKUP(B3786,辅助信息!E:I,4,FALSE)</f>
        <v>张扬</v>
      </c>
      <c r="K3786" s="120">
        <f>VLOOKUP(J3786,辅助信息!H:I,2,FALSE)</f>
        <v>18381904567</v>
      </c>
      <c r="L3786" s="122" t="str">
        <f>VLOOKUP(B3786,辅助信息!E:J,6,FALSE)</f>
        <v>控制炉批号！多了现场不收！,优先安排达钢,提前联系到场规格及数量</v>
      </c>
      <c r="M3786" s="91"/>
      <c r="O3786" s="62" t="str">
        <f ca="1" t="shared" si="200"/>
        <v/>
      </c>
      <c r="P3786" s="62"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0" t="s">
        <v>163</v>
      </c>
      <c r="C3787" s="70">
        <v>45925</v>
      </c>
      <c r="D3787" s="120" t="str">
        <f>VLOOKUP(B3787,辅助信息!E:K,7,FALSE)</f>
        <v>JWDDCD2025052800131</v>
      </c>
      <c r="E3787" s="120" t="str">
        <f>VLOOKUP(F3787,辅助信息!A:B,2,FALSE)</f>
        <v>螺纹钢</v>
      </c>
      <c r="F3787" s="120" t="s">
        <v>22</v>
      </c>
      <c r="G3787" s="121">
        <v>15</v>
      </c>
      <c r="H3787" s="134"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0" t="str">
        <f>VLOOKUP(B3787,辅助信息!E:I,3,FALSE)</f>
        <v>（商投建工达州中医药科技园-4工区-9号楼）达州市通川区达州中医药职业学院犀牛大道北段</v>
      </c>
      <c r="J3787" s="120" t="str">
        <f>VLOOKUP(B3787,辅助信息!E:I,4,FALSE)</f>
        <v>张扬</v>
      </c>
      <c r="K3787" s="120">
        <f>VLOOKUP(J3787,辅助信息!H:I,2,FALSE)</f>
        <v>18381904567</v>
      </c>
      <c r="L3787" s="122" t="str">
        <f>VLOOKUP(B3787,辅助信息!E:J,6,FALSE)</f>
        <v>控制炉批号！多了现场不收！,优先安排达钢,提前联系到场规格及数量</v>
      </c>
      <c r="M3787" s="91"/>
      <c r="O3787" s="62" t="str">
        <f ca="1" t="shared" si="200"/>
        <v/>
      </c>
      <c r="P3787" s="62"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0" t="s">
        <v>112</v>
      </c>
      <c r="C3788" s="70">
        <v>45925</v>
      </c>
      <c r="D3788" s="120" t="str">
        <f>VLOOKUP(B3788,辅助信息!E:K,7,FALSE)</f>
        <v>JWDDCD2025052800131</v>
      </c>
      <c r="E3788" s="120" t="str">
        <f>VLOOKUP(F3788,辅助信息!A:B,2,FALSE)</f>
        <v>盘螺</v>
      </c>
      <c r="F3788" s="120" t="s">
        <v>40</v>
      </c>
      <c r="G3788" s="121">
        <v>15</v>
      </c>
      <c r="H3788" s="134"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0" t="str">
        <f>VLOOKUP(B3788,辅助信息!E:I,3,FALSE)</f>
        <v>（商投建工达州中医药科技园-4工区-10号楼）达州市通川区达州中医药职业学院犀牛大道北段</v>
      </c>
      <c r="J3788" s="120" t="str">
        <f>VLOOKUP(B3788,辅助信息!E:I,4,FALSE)</f>
        <v>张扬</v>
      </c>
      <c r="K3788" s="120">
        <f>VLOOKUP(J3788,辅助信息!H:I,2,FALSE)</f>
        <v>18381904567</v>
      </c>
      <c r="L3788" s="122" t="str">
        <f>VLOOKUP(B3788,辅助信息!E:J,6,FALSE)</f>
        <v>控制炉批号！多了现场不收！,优先安排达钢,提前联系到场规格及数量</v>
      </c>
      <c r="M3788" s="91"/>
      <c r="O3788" s="62" t="str">
        <f ca="1" t="shared" si="200"/>
        <v/>
      </c>
      <c r="P3788" s="62"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0" t="s">
        <v>112</v>
      </c>
      <c r="C3789" s="70">
        <v>45925</v>
      </c>
      <c r="D3789" s="120" t="str">
        <f>VLOOKUP(B3789,辅助信息!E:K,7,FALSE)</f>
        <v>JWDDCD2025052800131</v>
      </c>
      <c r="E3789" s="120" t="str">
        <f>VLOOKUP(F3789,辅助信息!A:B,2,FALSE)</f>
        <v>螺纹钢</v>
      </c>
      <c r="F3789" s="120" t="s">
        <v>28</v>
      </c>
      <c r="G3789" s="121">
        <v>6</v>
      </c>
      <c r="H3789" s="134"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0" t="str">
        <f>VLOOKUP(B3789,辅助信息!E:I,3,FALSE)</f>
        <v>（商投建工达州中医药科技园-4工区-10号楼）达州市通川区达州中医药职业学院犀牛大道北段</v>
      </c>
      <c r="J3789" s="120" t="str">
        <f>VLOOKUP(B3789,辅助信息!E:I,4,FALSE)</f>
        <v>张扬</v>
      </c>
      <c r="K3789" s="120">
        <f>VLOOKUP(J3789,辅助信息!H:I,2,FALSE)</f>
        <v>18381904567</v>
      </c>
      <c r="L3789" s="122" t="str">
        <f>VLOOKUP(B3789,辅助信息!E:J,6,FALSE)</f>
        <v>控制炉批号！多了现场不收！,优先安排达钢,提前联系到场规格及数量</v>
      </c>
      <c r="M3789" s="91"/>
      <c r="O3789" s="62" t="str">
        <f ca="1" t="shared" si="200"/>
        <v/>
      </c>
      <c r="P3789" s="62"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0" t="s">
        <v>112</v>
      </c>
      <c r="C3790" s="70">
        <v>45925</v>
      </c>
      <c r="D3790" s="120" t="str">
        <f>VLOOKUP(B3790,辅助信息!E:K,7,FALSE)</f>
        <v>JWDDCD2025052800131</v>
      </c>
      <c r="E3790" s="120" t="str">
        <f>VLOOKUP(F3790,辅助信息!A:B,2,FALSE)</f>
        <v>螺纹钢</v>
      </c>
      <c r="F3790" s="120" t="s">
        <v>45</v>
      </c>
      <c r="G3790" s="121">
        <v>6</v>
      </c>
      <c r="H3790" s="134"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0" t="str">
        <f>VLOOKUP(B3790,辅助信息!E:I,3,FALSE)</f>
        <v>（商投建工达州中医药科技园-4工区-10号楼）达州市通川区达州中医药职业学院犀牛大道北段</v>
      </c>
      <c r="J3790" s="120" t="str">
        <f>VLOOKUP(B3790,辅助信息!E:I,4,FALSE)</f>
        <v>张扬</v>
      </c>
      <c r="K3790" s="120">
        <f>VLOOKUP(J3790,辅助信息!H:I,2,FALSE)</f>
        <v>18381904567</v>
      </c>
      <c r="L3790" s="122" t="str">
        <f>VLOOKUP(B3790,辅助信息!E:J,6,FALSE)</f>
        <v>控制炉批号！多了现场不收！,优先安排达钢,提前联系到场规格及数量</v>
      </c>
      <c r="M3790" s="91">
        <v>45925</v>
      </c>
      <c r="O3790" s="62">
        <f ca="1" t="shared" si="200"/>
        <v>0</v>
      </c>
      <c r="P3790" s="62">
        <f ca="1" t="shared" si="201"/>
        <v>35</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0" t="s">
        <v>112</v>
      </c>
      <c r="C3791" s="70">
        <v>45925</v>
      </c>
      <c r="D3791" s="120" t="str">
        <f>VLOOKUP(B3791,辅助信息!E:K,7,FALSE)</f>
        <v>JWDDCD2025052800131</v>
      </c>
      <c r="E3791" s="120" t="str">
        <f>VLOOKUP(F3791,辅助信息!A:B,2,FALSE)</f>
        <v>螺纹钢</v>
      </c>
      <c r="F3791" s="120" t="s">
        <v>21</v>
      </c>
      <c r="G3791" s="121">
        <v>12</v>
      </c>
      <c r="H3791" s="134"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0" t="str">
        <f>VLOOKUP(B3791,辅助信息!E:I,3,FALSE)</f>
        <v>（商投建工达州中医药科技园-4工区-10号楼）达州市通川区达州中医药职业学院犀牛大道北段</v>
      </c>
      <c r="J3791" s="120" t="str">
        <f>VLOOKUP(B3791,辅助信息!E:I,4,FALSE)</f>
        <v>张扬</v>
      </c>
      <c r="K3791" s="120">
        <f>VLOOKUP(J3791,辅助信息!H:I,2,FALSE)</f>
        <v>18381904567</v>
      </c>
      <c r="L3791" s="122" t="str">
        <f>VLOOKUP(B3791,辅助信息!E:J,6,FALSE)</f>
        <v>控制炉批号！多了现场不收！,优先安排达钢,提前联系到场规格及数量</v>
      </c>
      <c r="M3791" s="91">
        <v>45925</v>
      </c>
      <c r="O3791" s="62">
        <f ca="1" t="shared" si="200"/>
        <v>0</v>
      </c>
      <c r="P3791" s="62">
        <f ca="1" t="shared" si="201"/>
        <v>35</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0" t="s">
        <v>112</v>
      </c>
      <c r="C3792" s="70">
        <v>45925</v>
      </c>
      <c r="D3792" s="120" t="str">
        <f>VLOOKUP(B3792,辅助信息!E:K,7,FALSE)</f>
        <v>JWDDCD2025052800131</v>
      </c>
      <c r="E3792" s="120" t="str">
        <f>VLOOKUP(F3792,辅助信息!A:B,2,FALSE)</f>
        <v>螺纹钢</v>
      </c>
      <c r="F3792" s="120" t="s">
        <v>58</v>
      </c>
      <c r="G3792" s="121">
        <v>12</v>
      </c>
      <c r="H3792" s="134"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0" t="str">
        <f>VLOOKUP(B3792,辅助信息!E:I,3,FALSE)</f>
        <v>（商投建工达州中医药科技园-4工区-10号楼）达州市通川区达州中医药职业学院犀牛大道北段</v>
      </c>
      <c r="J3792" s="120" t="str">
        <f>VLOOKUP(B3792,辅助信息!E:I,4,FALSE)</f>
        <v>张扬</v>
      </c>
      <c r="K3792" s="120">
        <f>VLOOKUP(J3792,辅助信息!H:I,2,FALSE)</f>
        <v>18381904567</v>
      </c>
      <c r="L3792" s="122" t="str">
        <f>VLOOKUP(B3792,辅助信息!E:J,6,FALSE)</f>
        <v>控制炉批号！多了现场不收！,优先安排达钢,提前联系到场规格及数量</v>
      </c>
      <c r="M3792" s="91">
        <v>45925</v>
      </c>
      <c r="O3792" s="62">
        <f ca="1" t="shared" si="200"/>
        <v>0</v>
      </c>
      <c r="P3792" s="62">
        <f ca="1" t="shared" si="201"/>
        <v>35</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0" t="s">
        <v>112</v>
      </c>
      <c r="C3793" s="70">
        <v>45925</v>
      </c>
      <c r="D3793" s="120" t="str">
        <f>VLOOKUP(B3793,辅助信息!E:K,7,FALSE)</f>
        <v>JWDDCD2025052800131</v>
      </c>
      <c r="E3793" s="120" t="str">
        <f>VLOOKUP(F3793,辅助信息!A:B,2,FALSE)</f>
        <v>螺纹钢</v>
      </c>
      <c r="F3793" s="120" t="s">
        <v>22</v>
      </c>
      <c r="G3793" s="121">
        <v>6</v>
      </c>
      <c r="H3793" s="134"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0" t="str">
        <f>VLOOKUP(B3793,辅助信息!E:I,3,FALSE)</f>
        <v>（商投建工达州中医药科技园-4工区-10号楼）达州市通川区达州中医药职业学院犀牛大道北段</v>
      </c>
      <c r="J3793" s="120" t="str">
        <f>VLOOKUP(B3793,辅助信息!E:I,4,FALSE)</f>
        <v>张扬</v>
      </c>
      <c r="K3793" s="120">
        <f>VLOOKUP(J3793,辅助信息!H:I,2,FALSE)</f>
        <v>18381904567</v>
      </c>
      <c r="L3793" s="122" t="str">
        <f>VLOOKUP(B3793,辅助信息!E:J,6,FALSE)</f>
        <v>控制炉批号！多了现场不收！,优先安排达钢,提前联系到场规格及数量</v>
      </c>
      <c r="M3793" s="91">
        <v>45925</v>
      </c>
      <c r="O3793" s="62">
        <f ca="1" t="shared" si="200"/>
        <v>0</v>
      </c>
      <c r="P3793" s="62">
        <f ca="1" t="shared" si="201"/>
        <v>35</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29"/>
      <c r="B3794" s="120" t="s">
        <v>167</v>
      </c>
      <c r="C3794" s="70">
        <v>45925</v>
      </c>
      <c r="D3794" s="120" t="str">
        <f>VLOOKUP(B3794,辅助信息!E:K,7,FALSE)</f>
        <v>JWDDCD2025102100473</v>
      </c>
      <c r="E3794" s="120" t="str">
        <f>VLOOKUP(F3794,辅助信息!A:B,2,FALSE)</f>
        <v>螺纹钢</v>
      </c>
      <c r="F3794" s="120" t="s">
        <v>181</v>
      </c>
      <c r="G3794" s="121">
        <v>15</v>
      </c>
      <c r="H3794" s="134"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0" t="str">
        <f>VLOOKUP(B3794,辅助信息!E:I,3,FALSE)</f>
        <v>(五冶建设扩建艺体中学二期工程)四川省成都市双流区光荣路成都艺体中学南200米</v>
      </c>
      <c r="J3794" s="120" t="str">
        <f>VLOOKUP(B3794,辅助信息!E:I,4,FALSE)</f>
        <v>谢序强</v>
      </c>
      <c r="K3794" s="120">
        <f>VLOOKUP(J3794,辅助信息!H:I,2,FALSE)</f>
        <v>13458588232</v>
      </c>
      <c r="L3794" s="122"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2" t="str">
        <f ca="1" t="shared" si="200"/>
        <v/>
      </c>
      <c r="P3794" s="62"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29"/>
      <c r="B3795" s="120" t="s">
        <v>167</v>
      </c>
      <c r="C3795" s="70">
        <v>45925</v>
      </c>
      <c r="D3795" s="120" t="str">
        <f>VLOOKUP(B3795,辅助信息!E:K,7,FALSE)</f>
        <v>JWDDCD2025102100473</v>
      </c>
      <c r="E3795" s="120" t="str">
        <f>VLOOKUP(F3795,辅助信息!A:B,2,FALSE)</f>
        <v>螺纹钢</v>
      </c>
      <c r="F3795" s="120" t="s">
        <v>182</v>
      </c>
      <c r="G3795" s="121">
        <v>20</v>
      </c>
      <c r="H3795" s="134"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0" t="str">
        <f>VLOOKUP(B3795,辅助信息!E:I,3,FALSE)</f>
        <v>(五冶建设扩建艺体中学二期工程)四川省成都市双流区光荣路成都艺体中学南200米</v>
      </c>
      <c r="J3795" s="120" t="str">
        <f>VLOOKUP(B3795,辅助信息!E:I,4,FALSE)</f>
        <v>谢序强</v>
      </c>
      <c r="K3795" s="120">
        <f>VLOOKUP(J3795,辅助信息!H:I,2,FALSE)</f>
        <v>13458588232</v>
      </c>
      <c r="L3795" s="122"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2" t="str">
        <f ca="1" t="shared" si="200"/>
        <v/>
      </c>
      <c r="P3795" s="62"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0" t="s">
        <v>47</v>
      </c>
      <c r="C3796" s="70">
        <v>45925</v>
      </c>
      <c r="D3796" s="120" t="str">
        <f>VLOOKUP(B3796,辅助信息!E:K,7,FALSE)</f>
        <v>JWDDCD2025052800131</v>
      </c>
      <c r="E3796" s="120" t="str">
        <f>VLOOKUP(F3796,辅助信息!A:B,2,FALSE)</f>
        <v>盘螺</v>
      </c>
      <c r="F3796" s="120" t="s">
        <v>49</v>
      </c>
      <c r="G3796" s="121">
        <v>3</v>
      </c>
      <c r="H3796" s="134">
        <f>IF(SUMIFS('[1]2025年已发货'!$E:$E,'[1]2025年已发货'!$F:$F,C3796,'[1]2025年已发货'!$C:$C,F3796,'[1]2025年已发货'!$G:$G,I3796,'[1]2025年已发货'!$H:$H,J3796)=0,"未发货",SUMIFS('[1]2025年已发货'!$E:$E,'[1]2025年已发货'!$F:$F,C3796,'[1]2025年已发货'!$C:$C,F3796,'[1]2025年已发货'!$G:$G,I3796,'[1]2025年已发货'!$H:$H,J3796))</f>
        <v>3</v>
      </c>
      <c r="I3796" s="120" t="str">
        <f>VLOOKUP(B3796,辅助信息!E:I,3,FALSE)</f>
        <v>（商投建工达州中医药科技园-1工区）达州市通川区达州中医药职业学院犀牛大道北段</v>
      </c>
      <c r="J3796" s="120" t="str">
        <f>VLOOKUP(B3796,辅助信息!E:I,4,FALSE)</f>
        <v>程黄刚</v>
      </c>
      <c r="K3796" s="120">
        <f>VLOOKUP(J3796,辅助信息!H:I,2,FALSE)</f>
        <v>15108211617</v>
      </c>
      <c r="L3796" s="122" t="str">
        <f>VLOOKUP(B3796,辅助信息!E:J,6,FALSE)</f>
        <v>控制炉批号！多了现场不收！,优先安排达钢,提前联系到场规格及数量</v>
      </c>
      <c r="O3796" s="62" t="str">
        <f ca="1" t="shared" si="200"/>
        <v/>
      </c>
      <c r="P3796" s="62"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0" t="s">
        <v>47</v>
      </c>
      <c r="C3797" s="70">
        <v>45925</v>
      </c>
      <c r="D3797" s="120" t="str">
        <f>VLOOKUP(B3797,辅助信息!E:K,7,FALSE)</f>
        <v>JWDDCD2025052800131</v>
      </c>
      <c r="E3797" s="120" t="str">
        <f>VLOOKUP(F3797,辅助信息!A:B,2,FALSE)</f>
        <v>盘螺</v>
      </c>
      <c r="F3797" s="120" t="s">
        <v>40</v>
      </c>
      <c r="G3797" s="121">
        <v>15</v>
      </c>
      <c r="H3797" s="134">
        <f>IF(SUMIFS('[1]2025年已发货'!$E:$E,'[1]2025年已发货'!$F:$F,C3797,'[1]2025年已发货'!$C:$C,F3797,'[1]2025年已发货'!$G:$G,I3797,'[1]2025年已发货'!$H:$H,J3797)=0,"未发货",SUMIFS('[1]2025年已发货'!$E:$E,'[1]2025年已发货'!$F:$F,C3797,'[1]2025年已发货'!$C:$C,F3797,'[1]2025年已发货'!$G:$G,I3797,'[1]2025年已发货'!$H:$H,J3797))</f>
        <v>15</v>
      </c>
      <c r="I3797" s="120" t="str">
        <f>VLOOKUP(B3797,辅助信息!E:I,3,FALSE)</f>
        <v>（商投建工达州中医药科技园-1工区）达州市通川区达州中医药职业学院犀牛大道北段</v>
      </c>
      <c r="J3797" s="120" t="str">
        <f>VLOOKUP(B3797,辅助信息!E:I,4,FALSE)</f>
        <v>程黄刚</v>
      </c>
      <c r="K3797" s="120">
        <f>VLOOKUP(J3797,辅助信息!H:I,2,FALSE)</f>
        <v>15108211617</v>
      </c>
      <c r="L3797" s="122" t="str">
        <f>VLOOKUP(B3797,辅助信息!E:J,6,FALSE)</f>
        <v>控制炉批号！多了现场不收！,优先安排达钢,提前联系到场规格及数量</v>
      </c>
      <c r="O3797" s="62" t="str">
        <f ca="1" t="shared" si="200"/>
        <v/>
      </c>
      <c r="P3797" s="62"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0" t="s">
        <v>47</v>
      </c>
      <c r="C3798" s="70">
        <v>45925</v>
      </c>
      <c r="D3798" s="120" t="str">
        <f>VLOOKUP(B3798,辅助信息!E:K,7,FALSE)</f>
        <v>JWDDCD2025052800131</v>
      </c>
      <c r="E3798" s="120" t="str">
        <f>VLOOKUP(F3798,辅助信息!A:B,2,FALSE)</f>
        <v>盘螺</v>
      </c>
      <c r="F3798" s="120" t="s">
        <v>41</v>
      </c>
      <c r="G3798" s="121">
        <v>9</v>
      </c>
      <c r="H3798" s="134"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0" t="str">
        <f>VLOOKUP(B3798,辅助信息!E:I,3,FALSE)</f>
        <v>（商投建工达州中医药科技园-1工区）达州市通川区达州中医药职业学院犀牛大道北段</v>
      </c>
      <c r="J3798" s="120" t="str">
        <f>VLOOKUP(B3798,辅助信息!E:I,4,FALSE)</f>
        <v>程黄刚</v>
      </c>
      <c r="K3798" s="120">
        <f>VLOOKUP(J3798,辅助信息!H:I,2,FALSE)</f>
        <v>15108211617</v>
      </c>
      <c r="L3798" s="122" t="str">
        <f>VLOOKUP(B3798,辅助信息!E:J,6,FALSE)</f>
        <v>控制炉批号！多了现场不收！,优先安排达钢,提前联系到场规格及数量</v>
      </c>
      <c r="O3798" s="62" t="str">
        <f ca="1" t="shared" si="200"/>
        <v/>
      </c>
      <c r="P3798" s="62"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0" t="s">
        <v>47</v>
      </c>
      <c r="C3799" s="70">
        <v>45925</v>
      </c>
      <c r="D3799" s="120" t="str">
        <f>VLOOKUP(B3799,辅助信息!E:K,7,FALSE)</f>
        <v>JWDDCD2025052800131</v>
      </c>
      <c r="E3799" s="120" t="str">
        <f>VLOOKUP(F3799,辅助信息!A:B,2,FALSE)</f>
        <v>螺纹钢</v>
      </c>
      <c r="F3799" s="120" t="s">
        <v>27</v>
      </c>
      <c r="G3799" s="121">
        <v>9</v>
      </c>
      <c r="H3799" s="134">
        <f>IF(SUMIFS('[1]2025年已发货'!$E:$E,'[1]2025年已发货'!$F:$F,C3799,'[1]2025年已发货'!$C:$C,F3799,'[1]2025年已发货'!$G:$G,I3799,'[1]2025年已发货'!$H:$H,J3799)=0,"未发货",SUMIFS('[1]2025年已发货'!$E:$E,'[1]2025年已发货'!$F:$F,C3799,'[1]2025年已发货'!$C:$C,F3799,'[1]2025年已发货'!$G:$G,I3799,'[1]2025年已发货'!$H:$H,J3799))</f>
        <v>9</v>
      </c>
      <c r="I3799" s="120" t="str">
        <f>VLOOKUP(B3799,辅助信息!E:I,3,FALSE)</f>
        <v>（商投建工达州中医药科技园-1工区）达州市通川区达州中医药职业学院犀牛大道北段</v>
      </c>
      <c r="J3799" s="120" t="str">
        <f>VLOOKUP(B3799,辅助信息!E:I,4,FALSE)</f>
        <v>程黄刚</v>
      </c>
      <c r="K3799" s="120">
        <f>VLOOKUP(J3799,辅助信息!H:I,2,FALSE)</f>
        <v>15108211617</v>
      </c>
      <c r="L3799" s="122" t="str">
        <f>VLOOKUP(B3799,辅助信息!E:J,6,FALSE)</f>
        <v>控制炉批号！多了现场不收！,优先安排达钢,提前联系到场规格及数量</v>
      </c>
      <c r="O3799" s="62" t="str">
        <f ca="1" t="shared" si="200"/>
        <v/>
      </c>
      <c r="P3799" s="62"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0" t="s">
        <v>47</v>
      </c>
      <c r="C3800" s="70">
        <v>45925</v>
      </c>
      <c r="D3800" s="120" t="str">
        <f>VLOOKUP(B3800,辅助信息!E:K,7,FALSE)</f>
        <v>JWDDCD2025052800131</v>
      </c>
      <c r="E3800" s="120" t="str">
        <f>VLOOKUP(F3800,辅助信息!A:B,2,FALSE)</f>
        <v>螺纹钢</v>
      </c>
      <c r="F3800" s="120" t="s">
        <v>19</v>
      </c>
      <c r="G3800" s="121">
        <v>3</v>
      </c>
      <c r="H3800" s="134"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0" t="str">
        <f>VLOOKUP(B3800,辅助信息!E:I,3,FALSE)</f>
        <v>（商投建工达州中医药科技园-1工区）达州市通川区达州中医药职业学院犀牛大道北段</v>
      </c>
      <c r="J3800" s="120" t="str">
        <f>VLOOKUP(B3800,辅助信息!E:I,4,FALSE)</f>
        <v>程黄刚</v>
      </c>
      <c r="K3800" s="120">
        <f>VLOOKUP(J3800,辅助信息!H:I,2,FALSE)</f>
        <v>15108211617</v>
      </c>
      <c r="L3800" s="122" t="str">
        <f>VLOOKUP(B3800,辅助信息!E:J,6,FALSE)</f>
        <v>控制炉批号！多了现场不收！,优先安排达钢,提前联系到场规格及数量</v>
      </c>
      <c r="O3800" s="62" t="str">
        <f ca="1" t="shared" si="200"/>
        <v/>
      </c>
      <c r="P3800" s="62"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0" t="s">
        <v>47</v>
      </c>
      <c r="C3801" s="70">
        <v>45925</v>
      </c>
      <c r="D3801" s="120" t="str">
        <f>VLOOKUP(B3801,辅助信息!E:K,7,FALSE)</f>
        <v>JWDDCD2025052800131</v>
      </c>
      <c r="E3801" s="120" t="str">
        <f>VLOOKUP(F3801,辅助信息!A:B,2,FALSE)</f>
        <v>螺纹钢</v>
      </c>
      <c r="F3801" s="120" t="s">
        <v>32</v>
      </c>
      <c r="G3801" s="121">
        <v>9</v>
      </c>
      <c r="H3801" s="134">
        <f>IF(SUMIFS('[1]2025年已发货'!$E:$E,'[1]2025年已发货'!$F:$F,C3801,'[1]2025年已发货'!$C:$C,F3801,'[1]2025年已发货'!$G:$G,I3801,'[1]2025年已发货'!$H:$H,J3801)=0,"未发货",SUMIFS('[1]2025年已发货'!$E:$E,'[1]2025年已发货'!$F:$F,C3801,'[1]2025年已发货'!$C:$C,F3801,'[1]2025年已发货'!$G:$G,I3801,'[1]2025年已发货'!$H:$H,J3801))</f>
        <v>9</v>
      </c>
      <c r="I3801" s="120" t="str">
        <f>VLOOKUP(B3801,辅助信息!E:I,3,FALSE)</f>
        <v>（商投建工达州中医药科技园-1工区）达州市通川区达州中医药职业学院犀牛大道北段</v>
      </c>
      <c r="J3801" s="120" t="str">
        <f>VLOOKUP(B3801,辅助信息!E:I,4,FALSE)</f>
        <v>程黄刚</v>
      </c>
      <c r="K3801" s="120">
        <f>VLOOKUP(J3801,辅助信息!H:I,2,FALSE)</f>
        <v>15108211617</v>
      </c>
      <c r="L3801" s="122" t="str">
        <f>VLOOKUP(B3801,辅助信息!E:J,6,FALSE)</f>
        <v>控制炉批号！多了现场不收！,优先安排达钢,提前联系到场规格及数量</v>
      </c>
      <c r="O3801" s="62" t="str">
        <f ca="1" t="shared" si="200"/>
        <v/>
      </c>
      <c r="P3801" s="62"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0" t="s">
        <v>47</v>
      </c>
      <c r="C3802" s="70">
        <v>45925</v>
      </c>
      <c r="D3802" s="120" t="str">
        <f>VLOOKUP(B3802,辅助信息!E:K,7,FALSE)</f>
        <v>JWDDCD2025052800131</v>
      </c>
      <c r="E3802" s="120" t="str">
        <f>VLOOKUP(F3802,辅助信息!A:B,2,FALSE)</f>
        <v>螺纹钢</v>
      </c>
      <c r="F3802" s="120" t="s">
        <v>33</v>
      </c>
      <c r="G3802" s="121">
        <v>6</v>
      </c>
      <c r="H3802" s="134"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0" t="str">
        <f>VLOOKUP(B3802,辅助信息!E:I,3,FALSE)</f>
        <v>（商投建工达州中医药科技园-1工区）达州市通川区达州中医药职业学院犀牛大道北段</v>
      </c>
      <c r="J3802" s="120" t="str">
        <f>VLOOKUP(B3802,辅助信息!E:I,4,FALSE)</f>
        <v>程黄刚</v>
      </c>
      <c r="K3802" s="120">
        <f>VLOOKUP(J3802,辅助信息!H:I,2,FALSE)</f>
        <v>15108211617</v>
      </c>
      <c r="L3802" s="122" t="str">
        <f>VLOOKUP(B3802,辅助信息!E:J,6,FALSE)</f>
        <v>控制炉批号！多了现场不收！,优先安排达钢,提前联系到场规格及数量</v>
      </c>
      <c r="O3802" s="62" t="str">
        <f ca="1" t="shared" si="200"/>
        <v/>
      </c>
      <c r="P3802" s="62"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0" t="s">
        <v>47</v>
      </c>
      <c r="C3803" s="70">
        <v>45925</v>
      </c>
      <c r="D3803" s="120" t="str">
        <f>VLOOKUP(B3803,辅助信息!E:K,7,FALSE)</f>
        <v>JWDDCD2025052800131</v>
      </c>
      <c r="E3803" s="120" t="str">
        <f>VLOOKUP(F3803,辅助信息!A:B,2,FALSE)</f>
        <v>螺纹钢</v>
      </c>
      <c r="F3803" s="120" t="s">
        <v>28</v>
      </c>
      <c r="G3803" s="121">
        <v>27</v>
      </c>
      <c r="H3803" s="134">
        <f>IF(SUMIFS('[1]2025年已发货'!$E:$E,'[1]2025年已发货'!$F:$F,C3803,'[1]2025年已发货'!$C:$C,F3803,'[1]2025年已发货'!$G:$G,I3803,'[1]2025年已发货'!$H:$H,J3803)=0,"未发货",SUMIFS('[1]2025年已发货'!$E:$E,'[1]2025年已发货'!$F:$F,C3803,'[1]2025年已发货'!$C:$C,F3803,'[1]2025年已发货'!$G:$G,I3803,'[1]2025年已发货'!$H:$H,J3803))</f>
        <v>15</v>
      </c>
      <c r="I3803" s="120" t="str">
        <f>VLOOKUP(B3803,辅助信息!E:I,3,FALSE)</f>
        <v>（商投建工达州中医药科技园-1工区）达州市通川区达州中医药职业学院犀牛大道北段</v>
      </c>
      <c r="J3803" s="120" t="str">
        <f>VLOOKUP(B3803,辅助信息!E:I,4,FALSE)</f>
        <v>程黄刚</v>
      </c>
      <c r="K3803" s="120">
        <f>VLOOKUP(J3803,辅助信息!H:I,2,FALSE)</f>
        <v>15108211617</v>
      </c>
      <c r="L3803" s="122" t="str">
        <f>VLOOKUP(B3803,辅助信息!E:J,6,FALSE)</f>
        <v>控制炉批号！多了现场不收！,优先安排达钢,提前联系到场规格及数量</v>
      </c>
      <c r="O3803" s="62" t="str">
        <f ca="1" t="shared" si="200"/>
        <v/>
      </c>
      <c r="P3803" s="62"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0" t="s">
        <v>47</v>
      </c>
      <c r="C3804" s="70">
        <v>45925</v>
      </c>
      <c r="D3804" s="120" t="str">
        <f>VLOOKUP(B3804,辅助信息!E:K,7,FALSE)</f>
        <v>JWDDCD2025052800131</v>
      </c>
      <c r="E3804" s="120" t="str">
        <f>VLOOKUP(F3804,辅助信息!A:B,2,FALSE)</f>
        <v>螺纹钢</v>
      </c>
      <c r="F3804" s="120" t="s">
        <v>18</v>
      </c>
      <c r="G3804" s="121">
        <v>9</v>
      </c>
      <c r="H3804" s="134">
        <f>IF(SUMIFS('[1]2025年已发货'!$E:$E,'[1]2025年已发货'!$F:$F,C3804,'[1]2025年已发货'!$C:$C,F3804,'[1]2025年已发货'!$G:$G,I3804,'[1]2025年已发货'!$H:$H,J3804)=0,"未发货",SUMIFS('[1]2025年已发货'!$E:$E,'[1]2025年已发货'!$F:$F,C3804,'[1]2025年已发货'!$C:$C,F3804,'[1]2025年已发货'!$G:$G,I3804,'[1]2025年已发货'!$H:$H,J3804))</f>
        <v>9</v>
      </c>
      <c r="I3804" s="120" t="str">
        <f>VLOOKUP(B3804,辅助信息!E:I,3,FALSE)</f>
        <v>（商投建工达州中医药科技园-1工区）达州市通川区达州中医药职业学院犀牛大道北段</v>
      </c>
      <c r="J3804" s="120" t="str">
        <f>VLOOKUP(B3804,辅助信息!E:I,4,FALSE)</f>
        <v>程黄刚</v>
      </c>
      <c r="K3804" s="120">
        <f>VLOOKUP(J3804,辅助信息!H:I,2,FALSE)</f>
        <v>15108211617</v>
      </c>
      <c r="L3804" s="122" t="str">
        <f>VLOOKUP(B3804,辅助信息!E:J,6,FALSE)</f>
        <v>控制炉批号！多了现场不收！,优先安排达钢,提前联系到场规格及数量</v>
      </c>
      <c r="O3804" s="62" t="str">
        <f ca="1" t="shared" si="200"/>
        <v/>
      </c>
      <c r="P3804" s="62"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0" t="s">
        <v>150</v>
      </c>
      <c r="C3805" s="70">
        <v>45925</v>
      </c>
      <c r="D3805" s="120" t="str">
        <f>VLOOKUP(B3805,辅助信息!E:K,7,FALSE)</f>
        <v>JWDDCD2025050800101</v>
      </c>
      <c r="E3805" s="120" t="str">
        <f>VLOOKUP(F3805,辅助信息!A:B,2,FALSE)</f>
        <v>螺纹钢</v>
      </c>
      <c r="F3805" s="120" t="s">
        <v>32</v>
      </c>
      <c r="G3805" s="121">
        <v>9</v>
      </c>
      <c r="H3805" s="134"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0" t="str">
        <f>VLOOKUP(B3805,辅助信息!E:I,3,FALSE)</f>
        <v>(中铁科研院宜宾泥溪项目)中铁科研院集团有限公司宜宾市泥溪东互通式立交下穿成贵客专铁路工程项目钢筋加工厂</v>
      </c>
      <c r="J3805" s="120" t="str">
        <f>VLOOKUP(B3805,辅助信息!E:I,4,FALSE)</f>
        <v>蔡鹏</v>
      </c>
      <c r="K3805" s="120">
        <f>VLOOKUP(J3805,辅助信息!H:I,2,FALSE)</f>
        <v>19130850820</v>
      </c>
      <c r="L3805" s="122" t="str">
        <f>VLOOKUP(B3805,辅助信息!E:J,6,FALSE)</f>
        <v>装货前联系收货人核实到场规格，货物最下面用方木垫下方便卸货</v>
      </c>
      <c r="O3805" s="62" t="str">
        <f ca="1" t="shared" si="200"/>
        <v/>
      </c>
      <c r="P3805" s="62"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0" t="s">
        <v>150</v>
      </c>
      <c r="C3806" s="70">
        <v>45925</v>
      </c>
      <c r="D3806" s="120" t="str">
        <f>VLOOKUP(B3806,辅助信息!E:K,7,FALSE)</f>
        <v>JWDDCD2025050800101</v>
      </c>
      <c r="E3806" s="120" t="str">
        <f>VLOOKUP(F3806,辅助信息!A:B,2,FALSE)</f>
        <v>螺纹钢</v>
      </c>
      <c r="F3806" s="120" t="s">
        <v>33</v>
      </c>
      <c r="G3806" s="121">
        <v>6</v>
      </c>
      <c r="H3806" s="134"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0" t="str">
        <f>VLOOKUP(B3806,辅助信息!E:I,3,FALSE)</f>
        <v>(中铁科研院宜宾泥溪项目)中铁科研院集团有限公司宜宾市泥溪东互通式立交下穿成贵客专铁路工程项目钢筋加工厂</v>
      </c>
      <c r="J3806" s="120" t="str">
        <f>VLOOKUP(B3806,辅助信息!E:I,4,FALSE)</f>
        <v>蔡鹏</v>
      </c>
      <c r="K3806" s="120">
        <f>VLOOKUP(J3806,辅助信息!H:I,2,FALSE)</f>
        <v>19130850820</v>
      </c>
      <c r="L3806" s="122" t="str">
        <f>VLOOKUP(B3806,辅助信息!E:J,6,FALSE)</f>
        <v>装货前联系收货人核实到场规格，货物最下面用方木垫下方便卸货</v>
      </c>
      <c r="O3806" s="62" t="str">
        <f ca="1" t="shared" si="200"/>
        <v/>
      </c>
      <c r="P3806" s="62"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0" t="s">
        <v>150</v>
      </c>
      <c r="C3807" s="70">
        <v>45925</v>
      </c>
      <c r="D3807" s="120" t="str">
        <f>VLOOKUP(B3807,辅助信息!E:K,7,FALSE)</f>
        <v>JWDDCD2025050800101</v>
      </c>
      <c r="E3807" s="120" t="str">
        <f>VLOOKUP(F3807,辅助信息!A:B,2,FALSE)</f>
        <v>螺纹钢</v>
      </c>
      <c r="F3807" s="120" t="s">
        <v>65</v>
      </c>
      <c r="G3807" s="121">
        <v>15</v>
      </c>
      <c r="H3807" s="134"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0" t="str">
        <f>VLOOKUP(B3807,辅助信息!E:I,3,FALSE)</f>
        <v>(中铁科研院宜宾泥溪项目)中铁科研院集团有限公司宜宾市泥溪东互通式立交下穿成贵客专铁路工程项目钢筋加工厂</v>
      </c>
      <c r="J3807" s="120" t="str">
        <f>VLOOKUP(B3807,辅助信息!E:I,4,FALSE)</f>
        <v>蔡鹏</v>
      </c>
      <c r="K3807" s="120">
        <f>VLOOKUP(J3807,辅助信息!H:I,2,FALSE)</f>
        <v>19130850820</v>
      </c>
      <c r="L3807" s="122" t="str">
        <f>VLOOKUP(B3807,辅助信息!E:J,6,FALSE)</f>
        <v>装货前联系收货人核实到场规格，货物最下面用方木垫下方便卸货</v>
      </c>
      <c r="O3807" s="62" t="str">
        <f ca="1" t="shared" si="200"/>
        <v/>
      </c>
      <c r="P3807" s="62"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0" t="s">
        <v>150</v>
      </c>
      <c r="C3808" s="70">
        <v>45925</v>
      </c>
      <c r="D3808" s="120" t="str">
        <f>VLOOKUP(B3808,辅助信息!E:K,7,FALSE)</f>
        <v>JWDDCD2025050800101</v>
      </c>
      <c r="E3808" s="120" t="str">
        <f>VLOOKUP(F3808,辅助信息!A:B,2,FALSE)</f>
        <v>盘螺</v>
      </c>
      <c r="F3808" s="120" t="s">
        <v>41</v>
      </c>
      <c r="G3808" s="121">
        <v>10</v>
      </c>
      <c r="H3808" s="134"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0" t="str">
        <f>VLOOKUP(B3808,辅助信息!E:I,3,FALSE)</f>
        <v>(中铁科研院宜宾泥溪项目)中铁科研院集团有限公司宜宾市泥溪东互通式立交下穿成贵客专铁路工程项目钢筋加工厂</v>
      </c>
      <c r="J3808" s="120" t="str">
        <f>VLOOKUP(B3808,辅助信息!E:I,4,FALSE)</f>
        <v>蔡鹏</v>
      </c>
      <c r="K3808" s="120">
        <f>VLOOKUP(J3808,辅助信息!H:I,2,FALSE)</f>
        <v>19130850820</v>
      </c>
      <c r="L3808" s="122" t="str">
        <f>VLOOKUP(B3808,辅助信息!E:J,6,FALSE)</f>
        <v>装货前联系收货人核实到场规格，货物最下面用方木垫下方便卸货</v>
      </c>
      <c r="O3808" s="62" t="str">
        <f ca="1" t="shared" ref="O3808:O3871" si="202">IF(OR(M3808="",N3808&lt;&gt;""),"",MAX(M3808-TODAY(),0))</f>
        <v/>
      </c>
      <c r="P3808" s="62"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0" t="s">
        <v>150</v>
      </c>
      <c r="C3809" s="70">
        <v>45925</v>
      </c>
      <c r="D3809" s="120" t="str">
        <f>VLOOKUP(B3809,辅助信息!E:K,7,FALSE)</f>
        <v>JWDDCD2025050800101</v>
      </c>
      <c r="E3809" s="120" t="str">
        <f>VLOOKUP(F3809,辅助信息!A:B,2,FALSE)</f>
        <v>盘螺</v>
      </c>
      <c r="F3809" s="120" t="s">
        <v>26</v>
      </c>
      <c r="G3809" s="121">
        <v>30</v>
      </c>
      <c r="H3809" s="134"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0" t="str">
        <f>VLOOKUP(B3809,辅助信息!E:I,3,FALSE)</f>
        <v>(中铁科研院宜宾泥溪项目)中铁科研院集团有限公司宜宾市泥溪东互通式立交下穿成贵客专铁路工程项目钢筋加工厂</v>
      </c>
      <c r="J3809" s="120" t="str">
        <f>VLOOKUP(B3809,辅助信息!E:I,4,FALSE)</f>
        <v>蔡鹏</v>
      </c>
      <c r="K3809" s="120">
        <f>VLOOKUP(J3809,辅助信息!H:I,2,FALSE)</f>
        <v>19130850820</v>
      </c>
      <c r="L3809" s="122" t="str">
        <f>VLOOKUP(B3809,辅助信息!E:J,6,FALSE)</f>
        <v>装货前联系收货人核实到场规格，货物最下面用方木垫下方便卸货</v>
      </c>
      <c r="O3809" s="62" t="str">
        <f ca="1" t="shared" si="202"/>
        <v/>
      </c>
      <c r="P3809" s="62"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0">
        <v>45925</v>
      </c>
      <c r="D3810" s="40" t="str">
        <f>VLOOKUP(B3810,辅助信息!E:K,7,FALSE)</f>
        <v>JWDDCD2025102100486</v>
      </c>
      <c r="E3810" s="40" t="str">
        <f>VLOOKUP(F3810,辅助信息!A:B,2,FALSE)</f>
        <v>盘螺</v>
      </c>
      <c r="F3810" s="40" t="s">
        <v>40</v>
      </c>
      <c r="G3810" s="36">
        <v>14</v>
      </c>
      <c r="H3810" s="134"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09" t="str">
        <f>VLOOKUP(B3810,辅助信息!E:J,6,FALSE)</f>
        <v>联系实际收货人（孙敏13617695006）五冶建设送货单,6份材质书,锈货不收，装货前联系收货人核实到场规格,没提前告知进场规格现场不给予接收</v>
      </c>
      <c r="O3810" s="62" t="str">
        <f ca="1" t="shared" si="202"/>
        <v/>
      </c>
      <c r="P3810" s="62"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0">
        <v>45925</v>
      </c>
      <c r="D3811" s="40" t="str">
        <f>VLOOKUP(B3811,辅助信息!E:K,7,FALSE)</f>
        <v>JWDDCD2025102100486</v>
      </c>
      <c r="E3811" s="40" t="str">
        <f>VLOOKUP(F3811,辅助信息!A:B,2,FALSE)</f>
        <v>盘螺</v>
      </c>
      <c r="F3811" s="40" t="s">
        <v>41</v>
      </c>
      <c r="G3811" s="36">
        <v>4</v>
      </c>
      <c r="H3811" s="134"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09" t="str">
        <f>VLOOKUP(B3811,辅助信息!E:J,6,FALSE)</f>
        <v>联系实际收货人（孙敏13617695006）五冶建设送货单,6份材质书,锈货不收，装货前联系收货人核实到场规格,没提前告知进场规格现场不给予接收</v>
      </c>
      <c r="O3811" s="62" t="str">
        <f ca="1" t="shared" si="202"/>
        <v/>
      </c>
      <c r="P3811" s="62"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0">
        <v>45925</v>
      </c>
      <c r="D3812" s="40" t="str">
        <f>VLOOKUP(B3812,辅助信息!E:K,7,FALSE)</f>
        <v>JWDDCD2025102100486</v>
      </c>
      <c r="E3812" s="40" t="str">
        <f>VLOOKUP(F3812,辅助信息!A:B,2,FALSE)</f>
        <v>盘螺</v>
      </c>
      <c r="F3812" s="40" t="s">
        <v>26</v>
      </c>
      <c r="G3812" s="36">
        <v>32</v>
      </c>
      <c r="H3812" s="134"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09" t="str">
        <f>VLOOKUP(B3812,辅助信息!E:J,6,FALSE)</f>
        <v>联系实际收货人（孙敏13617695006）五冶建设送货单,6份材质书,锈货不收，装货前联系收货人核实到场规格,没提前告知进场规格现场不给予接收</v>
      </c>
      <c r="O3812" s="62" t="str">
        <f ca="1" t="shared" si="202"/>
        <v/>
      </c>
      <c r="P3812" s="62"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0">
        <v>45925</v>
      </c>
      <c r="D3813" s="40" t="str">
        <f>VLOOKUP(B3813,辅助信息!E:K,7,FALSE)</f>
        <v>JWDDCD2025102100486</v>
      </c>
      <c r="E3813" s="40" t="str">
        <f>VLOOKUP(F3813,辅助信息!A:B,2,FALSE)</f>
        <v>螺纹钢</v>
      </c>
      <c r="F3813" s="40" t="s">
        <v>19</v>
      </c>
      <c r="G3813" s="36">
        <v>20</v>
      </c>
      <c r="H3813" s="134">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09" t="str">
        <f>VLOOKUP(B3813,辅助信息!E:J,6,FALSE)</f>
        <v>联系实际收货人（孙敏13617695006）五冶建设送货单,6份材质书,锈货不收，装货前联系收货人核实到场规格,没提前告知进场规格现场不给予接收</v>
      </c>
      <c r="O3813" s="62" t="str">
        <f ca="1" t="shared" si="202"/>
        <v/>
      </c>
      <c r="P3813" s="62"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0">
        <v>45925</v>
      </c>
      <c r="D3814" s="40" t="str">
        <f>VLOOKUP(B3814,辅助信息!E:K,7,FALSE)</f>
        <v>JWDDCD2025102100486</v>
      </c>
      <c r="E3814" s="40" t="str">
        <f>VLOOKUP(F3814,辅助信息!A:B,2,FALSE)</f>
        <v>螺纹钢</v>
      </c>
      <c r="F3814" s="40" t="s">
        <v>32</v>
      </c>
      <c r="G3814" s="36">
        <v>40</v>
      </c>
      <c r="H3814" s="134"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09" t="str">
        <f>VLOOKUP(B3814,辅助信息!E:J,6,FALSE)</f>
        <v>联系实际收货人（孙敏13617695006）五冶建设送货单,6份材质书,锈货不收，装货前联系收货人核实到场规格,没提前告知进场规格现场不给予接收</v>
      </c>
      <c r="O3814" s="62" t="str">
        <f ca="1" t="shared" si="202"/>
        <v/>
      </c>
      <c r="P3814" s="62"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0">
        <v>45925</v>
      </c>
      <c r="D3815" s="40" t="str">
        <f>VLOOKUP(B3815,辅助信息!E:K,7,FALSE)</f>
        <v>JWDDCD2025102100486</v>
      </c>
      <c r="E3815" s="40" t="str">
        <f>VLOOKUP(F3815,辅助信息!A:B,2,FALSE)</f>
        <v>螺纹钢</v>
      </c>
      <c r="F3815" s="40" t="s">
        <v>30</v>
      </c>
      <c r="G3815" s="36">
        <v>6</v>
      </c>
      <c r="H3815" s="134">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09" t="str">
        <f>VLOOKUP(B3815,辅助信息!E:J,6,FALSE)</f>
        <v>联系实际收货人（孙敏13617695006）五冶建设送货单,6份材质书,锈货不收，装货前联系收货人核实到场规格,没提前告知进场规格现场不给予接收</v>
      </c>
      <c r="O3815" s="62" t="str">
        <f ca="1" t="shared" si="202"/>
        <v/>
      </c>
      <c r="P3815" s="62"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0">
        <v>45925</v>
      </c>
      <c r="D3816" s="40" t="str">
        <f>VLOOKUP(B3816,辅助信息!E:K,7,FALSE)</f>
        <v>JWDDCD2025102100486</v>
      </c>
      <c r="E3816" s="40" t="str">
        <f>VLOOKUP(F3816,辅助信息!A:B,2,FALSE)</f>
        <v>螺纹钢</v>
      </c>
      <c r="F3816" s="40" t="s">
        <v>33</v>
      </c>
      <c r="G3816" s="36">
        <v>13</v>
      </c>
      <c r="H3816" s="134">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09" t="str">
        <f>VLOOKUP(B3816,辅助信息!E:J,6,FALSE)</f>
        <v>联系实际收货人（孙敏13617695006）五冶建设送货单,6份材质书,锈货不收，装货前联系收货人核实到场规格,没提前告知进场规格现场不给予接收</v>
      </c>
      <c r="O3816" s="62" t="str">
        <f ca="1" t="shared" si="202"/>
        <v/>
      </c>
      <c r="P3816" s="62"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0">
        <v>45925</v>
      </c>
      <c r="D3817" s="40" t="str">
        <f>VLOOKUP(B3817,辅助信息!E:K,7,FALSE)</f>
        <v>JWDDCD2025102100486</v>
      </c>
      <c r="E3817" s="40" t="str">
        <f>VLOOKUP(F3817,辅助信息!A:B,2,FALSE)</f>
        <v>螺纹钢</v>
      </c>
      <c r="F3817" s="40" t="s">
        <v>28</v>
      </c>
      <c r="G3817" s="36">
        <v>35</v>
      </c>
      <c r="H3817" s="134"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09" t="str">
        <f>VLOOKUP(B3817,辅助信息!E:J,6,FALSE)</f>
        <v>联系实际收货人（孙敏13617695006）五冶建设送货单,6份材质书,锈货不收，装货前联系收货人核实到场规格,没提前告知进场规格现场不给予接收</v>
      </c>
      <c r="O3817" s="62" t="str">
        <f ca="1" t="shared" si="202"/>
        <v/>
      </c>
      <c r="P3817" s="62"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0">
        <v>45925</v>
      </c>
      <c r="D3818" s="40" t="str">
        <f>VLOOKUP(B3818,辅助信息!E:K,7,FALSE)</f>
        <v>JWDDCD2025102100486</v>
      </c>
      <c r="E3818" s="40" t="str">
        <f>VLOOKUP(F3818,辅助信息!A:B,2,FALSE)</f>
        <v>螺纹钢</v>
      </c>
      <c r="F3818" s="40" t="s">
        <v>18</v>
      </c>
      <c r="G3818" s="36">
        <v>40</v>
      </c>
      <c r="H3818" s="134"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09" t="str">
        <f>VLOOKUP(B3818,辅助信息!E:J,6,FALSE)</f>
        <v>联系实际收货人（孙敏13617695006）五冶建设送货单,6份材质书,锈货不收，装货前联系收货人核实到场规格,没提前告知进场规格现场不给予接收</v>
      </c>
      <c r="O3818" s="62" t="str">
        <f ca="1" t="shared" si="202"/>
        <v/>
      </c>
      <c r="P3818" s="62"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0">
        <v>45925</v>
      </c>
      <c r="D3819" s="40" t="str">
        <f>VLOOKUP(B3819,辅助信息!E:K,7,FALSE)</f>
        <v>JWDDCD2025102100486</v>
      </c>
      <c r="E3819" s="40" t="str">
        <f>VLOOKUP(F3819,辅助信息!A:B,2,FALSE)</f>
        <v>螺纹钢</v>
      </c>
      <c r="F3819" s="40" t="s">
        <v>52</v>
      </c>
      <c r="G3819" s="36">
        <v>8</v>
      </c>
      <c r="H3819" s="134">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09" t="str">
        <f>VLOOKUP(B3819,辅助信息!E:J,6,FALSE)</f>
        <v>联系实际收货人（孙敏13617695006）五冶建设送货单,6份材质书,锈货不收，装货前联系收货人核实到场规格,没提前告知进场规格现场不给予接收</v>
      </c>
      <c r="O3819" s="62" t="str">
        <f ca="1" t="shared" si="202"/>
        <v/>
      </c>
      <c r="P3819" s="62"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0">
        <v>45925</v>
      </c>
      <c r="D3820" s="40" t="str">
        <f>VLOOKUP(B3820,辅助信息!E:K,7,FALSE)</f>
        <v>JWDDCD2025102100486</v>
      </c>
      <c r="E3820" s="40" t="str">
        <f>VLOOKUP(F3820,辅助信息!A:B,2,FALSE)</f>
        <v>螺纹钢</v>
      </c>
      <c r="F3820" s="40" t="s">
        <v>82</v>
      </c>
      <c r="G3820" s="36">
        <v>2</v>
      </c>
      <c r="H3820" s="134">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09" t="str">
        <f>VLOOKUP(B3820,辅助信息!E:J,6,FALSE)</f>
        <v>联系实际收货人（孙敏13617695006）五冶建设送货单,6份材质书,锈货不收，装货前联系收货人核实到场规格,没提前告知进场规格现场不给予接收</v>
      </c>
      <c r="O3820" s="62" t="str">
        <f ca="1" t="shared" si="202"/>
        <v/>
      </c>
      <c r="P3820" s="62"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0">
        <v>45925</v>
      </c>
      <c r="D3821" s="40" t="str">
        <f>VLOOKUP(B3821,辅助信息!E:K,7,FALSE)</f>
        <v>JWDDCD2025102100486</v>
      </c>
      <c r="E3821" s="40" t="str">
        <f>VLOOKUP(F3821,辅助信息!A:B,2,FALSE)</f>
        <v>螺纹钢</v>
      </c>
      <c r="F3821" s="40" t="s">
        <v>45</v>
      </c>
      <c r="G3821" s="36">
        <v>2</v>
      </c>
      <c r="H3821" s="134">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09" t="str">
        <f>VLOOKUP(B3821,辅助信息!E:J,6,FALSE)</f>
        <v>联系实际收货人（孙敏13617695006）五冶建设送货单,6份材质书,锈货不收，装货前联系收货人核实到场规格,没提前告知进场规格现场不给予接收</v>
      </c>
      <c r="O3821" s="62" t="str">
        <f ca="1" t="shared" si="202"/>
        <v/>
      </c>
      <c r="P3821" s="62"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0">
        <v>45925</v>
      </c>
      <c r="D3822" s="40" t="str">
        <f>VLOOKUP(B3822,辅助信息!E:K,7,FALSE)</f>
        <v>JWDDCD2025102100486</v>
      </c>
      <c r="E3822" s="40" t="str">
        <f>VLOOKUP(F3822,辅助信息!A:B,2,FALSE)</f>
        <v>螺纹钢</v>
      </c>
      <c r="F3822" s="40" t="s">
        <v>21</v>
      </c>
      <c r="G3822" s="36">
        <v>3</v>
      </c>
      <c r="H3822" s="134">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09" t="str">
        <f>VLOOKUP(B3822,辅助信息!E:J,6,FALSE)</f>
        <v>联系实际收货人（孙敏13617695006）五冶建设送货单,6份材质书,锈货不收，装货前联系收货人核实到场规格,没提前告知进场规格现场不给予接收</v>
      </c>
      <c r="O3822" s="62" t="str">
        <f ca="1" t="shared" si="202"/>
        <v/>
      </c>
      <c r="P3822" s="62"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0">
        <v>45925</v>
      </c>
      <c r="D3823" s="40" t="str">
        <f>VLOOKUP(B3823,辅助信息!E:K,7,FALSE)</f>
        <v>JWDDCD2025102100486</v>
      </c>
      <c r="E3823" s="40" t="str">
        <f>VLOOKUP(F3823,辅助信息!A:B,2,FALSE)</f>
        <v>螺纹钢</v>
      </c>
      <c r="F3823" s="40" t="s">
        <v>58</v>
      </c>
      <c r="G3823" s="36">
        <v>3</v>
      </c>
      <c r="H3823" s="134">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09" t="str">
        <f>VLOOKUP(B3823,辅助信息!E:J,6,FALSE)</f>
        <v>联系实际收货人（孙敏13617695006）五冶建设送货单,6份材质书,锈货不收，装货前联系收货人核实到场规格,没提前告知进场规格现场不给予接收</v>
      </c>
      <c r="O3823" s="62" t="str">
        <f ca="1" t="shared" si="202"/>
        <v/>
      </c>
      <c r="P3823" s="62"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0">
        <v>45925</v>
      </c>
      <c r="D3824" s="40" t="str">
        <f>VLOOKUP(B3824,辅助信息!E:K,7,FALSE)</f>
        <v>JWDDCD2025102100486</v>
      </c>
      <c r="E3824" s="40" t="str">
        <f>VLOOKUP(F3824,辅助信息!A:B,2,FALSE)</f>
        <v>螺纹钢</v>
      </c>
      <c r="F3824" s="40" t="s">
        <v>46</v>
      </c>
      <c r="G3824" s="36">
        <v>3</v>
      </c>
      <c r="H3824" s="134">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09" t="str">
        <f>VLOOKUP(B3824,辅助信息!E:J,6,FALSE)</f>
        <v>联系实际收货人（孙敏13617695006）五冶建设送货单,6份材质书,锈货不收，装货前联系收货人核实到场规格,没提前告知进场规格现场不给予接收</v>
      </c>
      <c r="O3824" s="62" t="str">
        <f ca="1" t="shared" si="202"/>
        <v/>
      </c>
      <c r="P3824" s="62"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0">
        <v>45925</v>
      </c>
      <c r="D3825" s="40" t="str">
        <f>VLOOKUP(B3825,辅助信息!E:K,7,FALSE)</f>
        <v>JWDDCD2025102100486</v>
      </c>
      <c r="E3825" s="40" t="str">
        <f>VLOOKUP(F3825,辅助信息!A:B,2,FALSE)</f>
        <v>螺纹钢</v>
      </c>
      <c r="F3825" s="40" t="s">
        <v>22</v>
      </c>
      <c r="G3825" s="36">
        <v>20</v>
      </c>
      <c r="H3825" s="134">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09" t="str">
        <f>VLOOKUP(B3825,辅助信息!E:J,6,FALSE)</f>
        <v>联系实际收货人（孙敏13617695006）五冶建设送货单,6份材质书,锈货不收，装货前联系收货人核实到场规格,没提前告知进场规格现场不给予接收</v>
      </c>
      <c r="O3825" s="62" t="str">
        <f ca="1" t="shared" si="202"/>
        <v/>
      </c>
      <c r="P3825" s="62"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0">
        <v>45925</v>
      </c>
      <c r="D3826" s="40" t="str">
        <f>VLOOKUP(B3826,辅助信息!E:K,7,FALSE)</f>
        <v>JWDDCD2025102100480</v>
      </c>
      <c r="E3826" s="40" t="str">
        <f>VLOOKUP(F3826,辅助信息!A:B,2,FALSE)</f>
        <v>高线</v>
      </c>
      <c r="F3826" s="40" t="s">
        <v>53</v>
      </c>
      <c r="G3826" s="36">
        <v>2</v>
      </c>
      <c r="H3826" s="134"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09" t="str">
        <f>VLOOKUP(B3826,辅助信息!E:J,6,FALSE)</f>
        <v>联系实际收货人（陶杰13980247952）五冶建设送货单,6份材质书,锈货不收，装货前联系收货人核实到场规格,没提前告知进场规格现场不给予接收</v>
      </c>
      <c r="O3826" s="62" t="str">
        <f ca="1" t="shared" si="202"/>
        <v/>
      </c>
      <c r="P3826" s="62"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0">
        <v>45925</v>
      </c>
      <c r="D3827" s="40" t="str">
        <f>VLOOKUP(B3827,辅助信息!E:K,7,FALSE)</f>
        <v>JWDDCD2025102100480</v>
      </c>
      <c r="E3827" s="40" t="str">
        <f>VLOOKUP(F3827,辅助信息!A:B,2,FALSE)</f>
        <v>螺纹钢</v>
      </c>
      <c r="F3827" s="40" t="s">
        <v>32</v>
      </c>
      <c r="G3827" s="36">
        <v>5.4</v>
      </c>
      <c r="H3827" s="134"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09" t="str">
        <f>VLOOKUP(B3827,辅助信息!E:J,6,FALSE)</f>
        <v>联系实际收货人（陶杰13980247952）五冶建设送货单,6份材质书,锈货不收，装货前联系收货人核实到场规格,没提前告知进场规格现场不给予接收</v>
      </c>
      <c r="O3827" s="62" t="str">
        <f ca="1" t="shared" si="202"/>
        <v/>
      </c>
      <c r="P3827" s="62"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0">
        <v>45925</v>
      </c>
      <c r="D3828" s="40" t="str">
        <f>VLOOKUP(B3828,辅助信息!E:K,7,FALSE)</f>
        <v>JWDDCD2025102100480</v>
      </c>
      <c r="E3828" s="40" t="str">
        <f>VLOOKUP(F3828,辅助信息!A:B,2,FALSE)</f>
        <v>螺纹钢</v>
      </c>
      <c r="F3828" s="40" t="s">
        <v>30</v>
      </c>
      <c r="G3828" s="36">
        <v>2.7</v>
      </c>
      <c r="H3828" s="134"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09" t="str">
        <f>VLOOKUP(B3828,辅助信息!E:J,6,FALSE)</f>
        <v>联系实际收货人（陶杰13980247952）五冶建设送货单,6份材质书,锈货不收，装货前联系收货人核实到场规格,没提前告知进场规格现场不给予接收</v>
      </c>
      <c r="O3828" s="62" t="str">
        <f ca="1" t="shared" si="202"/>
        <v/>
      </c>
      <c r="P3828" s="62"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0">
        <v>45925</v>
      </c>
      <c r="D3829" s="40" t="str">
        <f>VLOOKUP(B3829,辅助信息!E:K,7,FALSE)</f>
        <v>JWDDCD2025102100480</v>
      </c>
      <c r="E3829" s="40" t="str">
        <f>VLOOKUP(F3829,辅助信息!A:B,2,FALSE)</f>
        <v>螺纹钢</v>
      </c>
      <c r="F3829" s="40" t="s">
        <v>18</v>
      </c>
      <c r="G3829" s="36">
        <v>24.3</v>
      </c>
      <c r="H3829" s="134"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09" t="str">
        <f>VLOOKUP(B3829,辅助信息!E:J,6,FALSE)</f>
        <v>联系实际收货人（陶杰13980247952）五冶建设送货单,6份材质书,锈货不收，装货前联系收货人核实到场规格,没提前告知进场规格现场不给予接收</v>
      </c>
      <c r="O3829" s="62" t="str">
        <f ca="1" t="shared" si="202"/>
        <v/>
      </c>
      <c r="P3829" s="62"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0">
        <v>45925</v>
      </c>
      <c r="D3830" s="40" t="str">
        <f>VLOOKUP(B3830,辅助信息!E:K,7,FALSE)</f>
        <v>JWDDCD2025072900121</v>
      </c>
      <c r="E3830" s="40" t="str">
        <f>VLOOKUP(F3830,辅助信息!A:B,2,FALSE)</f>
        <v>盘螺</v>
      </c>
      <c r="F3830" s="40" t="s">
        <v>49</v>
      </c>
      <c r="G3830" s="36">
        <v>10</v>
      </c>
      <c r="H3830" s="134"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09" t="str">
        <f>VLOOKUP(B3830,辅助信息!E:J,6,FALSE)</f>
        <v>联系实际收货人（范增云13668153241）现场要求炉批号控制2个以下，超2个不给予签收。提前联系到场规格及数量</v>
      </c>
      <c r="O3830" s="62" t="str">
        <f ca="1" t="shared" si="202"/>
        <v/>
      </c>
      <c r="P3830" s="62"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0">
        <v>45925</v>
      </c>
      <c r="D3831" s="40" t="str">
        <f>VLOOKUP(B3831,辅助信息!E:K,7,FALSE)</f>
        <v>JWDDCD2025072900121</v>
      </c>
      <c r="E3831" s="40" t="str">
        <f>VLOOKUP(F3831,辅助信息!A:B,2,FALSE)</f>
        <v>盘螺</v>
      </c>
      <c r="F3831" s="40" t="s">
        <v>40</v>
      </c>
      <c r="G3831" s="36">
        <v>25</v>
      </c>
      <c r="H3831" s="134"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09" t="str">
        <f>VLOOKUP(B3831,辅助信息!E:J,6,FALSE)</f>
        <v>联系实际收货人（范增云13668153241）现场要求炉批号控制2个以下，超2个不给予签收。提前联系到场规格及数量</v>
      </c>
      <c r="O3831" s="62" t="str">
        <f ca="1" t="shared" si="202"/>
        <v/>
      </c>
      <c r="P3831" s="62"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0">
        <v>45925</v>
      </c>
      <c r="D3832" s="40" t="str">
        <f>VLOOKUP(B3832,辅助信息!E:K,7,FALSE)</f>
        <v>JWDDCD2025072900121</v>
      </c>
      <c r="E3832" s="40" t="str">
        <f>VLOOKUP(F3832,辅助信息!A:B,2,FALSE)</f>
        <v>盘螺</v>
      </c>
      <c r="F3832" s="40" t="s">
        <v>41</v>
      </c>
      <c r="G3832" s="36">
        <v>20</v>
      </c>
      <c r="H3832" s="134"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09" t="str">
        <f>VLOOKUP(B3832,辅助信息!E:J,6,FALSE)</f>
        <v>联系实际收货人（范增云13668153241）现场要求炉批号控制2个以下，超2个不给予签收。提前联系到场规格及数量</v>
      </c>
      <c r="O3832" s="62" t="str">
        <f ca="1" t="shared" si="202"/>
        <v/>
      </c>
      <c r="P3832" s="62"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0">
        <v>45925</v>
      </c>
      <c r="D3833" s="40" t="str">
        <f>VLOOKUP(B3833,辅助信息!E:K,7,FALSE)</f>
        <v>JWDDCD2025072900121</v>
      </c>
      <c r="E3833" s="40" t="str">
        <f>VLOOKUP(F3833,辅助信息!A:B,2,FALSE)</f>
        <v>盘螺</v>
      </c>
      <c r="F3833" s="40" t="s">
        <v>26</v>
      </c>
      <c r="G3833" s="36">
        <v>20</v>
      </c>
      <c r="H3833" s="134"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09" t="str">
        <f>VLOOKUP(B3833,辅助信息!E:J,6,FALSE)</f>
        <v>联系实际收货人（范增云13668153241）现场要求炉批号控制2个以下，超2个不给予签收。提前联系到场规格及数量</v>
      </c>
      <c r="O3833" s="62" t="str">
        <f ca="1" t="shared" si="202"/>
        <v/>
      </c>
      <c r="P3833" s="62"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0">
        <v>45925</v>
      </c>
      <c r="D3834" s="40" t="str">
        <f>VLOOKUP(B3834,辅助信息!E:K,7,FALSE)</f>
        <v>JWDDCD2025072900121</v>
      </c>
      <c r="E3834" s="40" t="str">
        <f>VLOOKUP(F3834,辅助信息!A:B,2,FALSE)</f>
        <v>螺纹钢</v>
      </c>
      <c r="F3834" s="40" t="s">
        <v>22</v>
      </c>
      <c r="G3834" s="36">
        <v>25</v>
      </c>
      <c r="H3834" s="134">
        <f>IF(SUMIFS('[1]2025年已发货'!$E:$E,'[1]2025年已发货'!$F:$F,C3834,'[1]2025年已发货'!$C:$C,F3834,'[1]2025年已发货'!$G:$G,I3834,'[1]2025年已发货'!$H:$H,J3834)=0,"未发货",SUMIFS('[1]2025年已发货'!$E:$E,'[1]2025年已发货'!$F:$F,C3834,'[1]2025年已发货'!$C:$C,F3834,'[1]2025年已发货'!$G:$G,I3834,'[1]2025年已发货'!$H:$H,J3834))</f>
        <v>18</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09" t="str">
        <f>VLOOKUP(B3834,辅助信息!E:J,6,FALSE)</f>
        <v>联系实际收货人（范增云13668153241）现场要求炉批号控制2个以下，超2个不给予签收。提前联系到场规格及数量</v>
      </c>
      <c r="O3834" s="62" t="str">
        <f ca="1" t="shared" si="202"/>
        <v/>
      </c>
      <c r="P3834" s="62"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0">
        <v>45925</v>
      </c>
      <c r="D3835" s="40" t="str">
        <f>VLOOKUP(B3835,辅助信息!E:K,7,FALSE)</f>
        <v>JWDDCD2025072900121</v>
      </c>
      <c r="E3835" s="40" t="str">
        <f>VLOOKUP(F3835,辅助信息!A:B,2,FALSE)</f>
        <v>螺纹钢</v>
      </c>
      <c r="F3835" s="40" t="s">
        <v>181</v>
      </c>
      <c r="G3835" s="36">
        <v>15</v>
      </c>
      <c r="H3835" s="134">
        <f>IF(SUMIFS('[1]2025年已发货'!$E:$E,'[1]2025年已发货'!$F:$F,C3835,'[1]2025年已发货'!$C:$C,F3835,'[1]2025年已发货'!$G:$G,I3835,'[1]2025年已发货'!$H:$H,J3835)=0,"未发货",SUMIFS('[1]2025年已发货'!$E:$E,'[1]2025年已发货'!$F:$F,C3835,'[1]2025年已发货'!$C:$C,F3835,'[1]2025年已发货'!$G:$G,I3835,'[1]2025年已发货'!$H:$H,J3835))</f>
        <v>15</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09" t="str">
        <f>VLOOKUP(B3835,辅助信息!E:J,6,FALSE)</f>
        <v>联系实际收货人（范增云13668153241）现场要求炉批号控制2个以下，超2个不给予签收。提前联系到场规格及数量</v>
      </c>
      <c r="O3835" s="62" t="str">
        <f ca="1" t="shared" si="202"/>
        <v/>
      </c>
      <c r="P3835" s="62"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0">
        <v>45925</v>
      </c>
      <c r="D3836" s="40" t="str">
        <f>VLOOKUP(B3836,辅助信息!E:K,7,FALSE)</f>
        <v>JWDDCD2025072900121</v>
      </c>
      <c r="E3836" s="40" t="str">
        <f>VLOOKUP(F3836,辅助信息!A:B,2,FALSE)</f>
        <v>螺纹钢</v>
      </c>
      <c r="F3836" s="40" t="s">
        <v>182</v>
      </c>
      <c r="G3836" s="36">
        <v>10</v>
      </c>
      <c r="H3836" s="134">
        <f>IF(SUMIFS('[1]2025年已发货'!$E:$E,'[1]2025年已发货'!$F:$F,C3836,'[1]2025年已发货'!$C:$C,F3836,'[1]2025年已发货'!$G:$G,I3836,'[1]2025年已发货'!$H:$H,J3836)=0,"未发货",SUMIFS('[1]2025年已发货'!$E:$E,'[1]2025年已发货'!$F:$F,C3836,'[1]2025年已发货'!$C:$C,F3836,'[1]2025年已发货'!$G:$G,I3836,'[1]2025年已发货'!$H:$H,J3836))</f>
        <v>10</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09" t="str">
        <f>VLOOKUP(B3836,辅助信息!E:J,6,FALSE)</f>
        <v>联系实际收货人（范增云13668153241）现场要求炉批号控制2个以下，超2个不给予签收。提前联系到场规格及数量</v>
      </c>
      <c r="O3836" s="62" t="str">
        <f ca="1" t="shared" si="202"/>
        <v/>
      </c>
      <c r="P3836" s="62"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0">
        <v>45925</v>
      </c>
      <c r="D3837" s="40" t="str">
        <f>VLOOKUP(B3837,辅助信息!E:K,7,FALSE)</f>
        <v>JWDDCD2025072900121</v>
      </c>
      <c r="E3837" s="40" t="str">
        <f>VLOOKUP(F3837,辅助信息!A:B,2,FALSE)</f>
        <v>螺纹钢</v>
      </c>
      <c r="F3837" s="40" t="s">
        <v>142</v>
      </c>
      <c r="G3837" s="36">
        <v>10</v>
      </c>
      <c r="H3837" s="134">
        <f>IF(SUMIFS('[1]2025年已发货'!$E:$E,'[1]2025年已发货'!$F:$F,C3837,'[1]2025年已发货'!$C:$C,F3837,'[1]2025年已发货'!$G:$G,I3837,'[1]2025年已发货'!$H:$H,J3837)=0,"未发货",SUMIFS('[1]2025年已发货'!$E:$E,'[1]2025年已发货'!$F:$F,C3837,'[1]2025年已发货'!$C:$C,F3837,'[1]2025年已发货'!$G:$G,I3837,'[1]2025年已发货'!$H:$H,J3837))</f>
        <v>10</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09" t="str">
        <f>VLOOKUP(B3837,辅助信息!E:J,6,FALSE)</f>
        <v>联系实际收货人（范增云13668153241）现场要求炉批号控制2个以下，超2个不给予签收。提前联系到场规格及数量</v>
      </c>
      <c r="O3837" s="62" t="str">
        <f ca="1" t="shared" si="202"/>
        <v/>
      </c>
      <c r="P3837" s="62"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0">
        <v>45925</v>
      </c>
      <c r="D3838" s="40" t="str">
        <f>VLOOKUP(B3838,辅助信息!E:K,7,FALSE)</f>
        <v>JWDDCD2025072900121</v>
      </c>
      <c r="E3838" s="40" t="str">
        <f>VLOOKUP(F3838,辅助信息!A:B,2,FALSE)</f>
        <v>螺纹钢</v>
      </c>
      <c r="F3838" s="40" t="s">
        <v>200</v>
      </c>
      <c r="G3838" s="36">
        <v>18</v>
      </c>
      <c r="H3838" s="134">
        <f>IF(SUMIFS('[1]2025年已发货'!$E:$E,'[1]2025年已发货'!$F:$F,C3838,'[1]2025年已发货'!$C:$C,F3838,'[1]2025年已发货'!$G:$G,I3838,'[1]2025年已发货'!$H:$H,J3838)=0,"未发货",SUMIFS('[1]2025年已发货'!$E:$E,'[1]2025年已发货'!$F:$F,C3838,'[1]2025年已发货'!$C:$C,F3838,'[1]2025年已发货'!$G:$G,I3838,'[1]2025年已发货'!$H:$H,J3838))</f>
        <v>18</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09" t="str">
        <f>VLOOKUP(B3838,辅助信息!E:J,6,FALSE)</f>
        <v>联系实际收货人（范增云13668153241）现场要求炉批号控制2个以下，超2个不给予签收。提前联系到场规格及数量</v>
      </c>
      <c r="O3838" s="62" t="str">
        <f ca="1" t="shared" si="202"/>
        <v/>
      </c>
      <c r="P3838" s="62"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0">
        <v>45925</v>
      </c>
      <c r="D3839" s="40" t="str">
        <f>VLOOKUP(B3839,辅助信息!E:K,7,FALSE)</f>
        <v>JWDD2025071500089</v>
      </c>
      <c r="E3839" s="40" t="str">
        <f>VLOOKUP(F3839,辅助信息!A:B,2,FALSE)</f>
        <v>盘螺</v>
      </c>
      <c r="F3839" s="40" t="s">
        <v>49</v>
      </c>
      <c r="G3839" s="36">
        <v>5</v>
      </c>
      <c r="H3839" s="134"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09" t="str">
        <f>VLOOKUP(B3839,辅助信息!E:J,6,FALSE)</f>
        <v>现场要求调度统一联系指定收货人，不单独发司机位置。锈货不收，装货前联系收货人核实到场规格,没提前告知进场规格现场不给予接收</v>
      </c>
      <c r="O3839" s="62" t="str">
        <f ca="1" t="shared" si="202"/>
        <v/>
      </c>
      <c r="P3839" s="62"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0">
        <v>45925</v>
      </c>
      <c r="D3840" s="40" t="str">
        <f>VLOOKUP(B3840,辅助信息!E:K,7,FALSE)</f>
        <v>JWDD2025071500089</v>
      </c>
      <c r="E3840" s="40" t="str">
        <f>VLOOKUP(F3840,辅助信息!A:B,2,FALSE)</f>
        <v>盘螺</v>
      </c>
      <c r="F3840" s="40" t="s">
        <v>40</v>
      </c>
      <c r="G3840" s="36">
        <v>55</v>
      </c>
      <c r="H3840" s="134"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09" t="str">
        <f>VLOOKUP(B3840,辅助信息!E:J,6,FALSE)</f>
        <v>现场要求调度统一联系指定收货人，不单独发司机位置。锈货不收，装货前联系收货人核实到场规格,没提前告知进场规格现场不给予接收</v>
      </c>
      <c r="O3840" s="62" t="str">
        <f ca="1" t="shared" si="202"/>
        <v/>
      </c>
      <c r="P3840" s="62"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0">
        <v>45925</v>
      </c>
      <c r="D3841" s="40" t="str">
        <f>VLOOKUP(B3841,辅助信息!E:K,7,FALSE)</f>
        <v>JWDD2025071500089</v>
      </c>
      <c r="E3841" s="40" t="str">
        <f>VLOOKUP(F3841,辅助信息!A:B,2,FALSE)</f>
        <v>盘螺</v>
      </c>
      <c r="F3841" s="40" t="s">
        <v>41</v>
      </c>
      <c r="G3841" s="36">
        <v>10</v>
      </c>
      <c r="H3841" s="134"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09" t="str">
        <f>VLOOKUP(B3841,辅助信息!E:J,6,FALSE)</f>
        <v>现场要求调度统一联系指定收货人，不单独发司机位置。锈货不收，装货前联系收货人核实到场规格,没提前告知进场规格现场不给予接收</v>
      </c>
      <c r="O3841" s="62" t="str">
        <f ca="1" t="shared" si="202"/>
        <v/>
      </c>
      <c r="P3841" s="62"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0">
        <v>45925</v>
      </c>
      <c r="D3842" s="40" t="str">
        <f>VLOOKUP(B3842,辅助信息!E:K,7,FALSE)</f>
        <v>JWDD2025071500089</v>
      </c>
      <c r="E3842" s="40" t="str">
        <f>VLOOKUP(F3842,辅助信息!A:B,2,FALSE)</f>
        <v>螺纹钢</v>
      </c>
      <c r="F3842" s="40" t="s">
        <v>27</v>
      </c>
      <c r="G3842" s="36">
        <v>10</v>
      </c>
      <c r="H3842" s="134">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09" t="str">
        <f>VLOOKUP(B3842,辅助信息!E:J,6,FALSE)</f>
        <v>现场要求调度统一联系指定收货人，不单独发司机位置。锈货不收，装货前联系收货人核实到场规格,没提前告知进场规格现场不给予接收</v>
      </c>
      <c r="O3842" s="62" t="str">
        <f ca="1" t="shared" si="202"/>
        <v/>
      </c>
      <c r="P3842" s="62"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0">
        <v>45925</v>
      </c>
      <c r="D3843" s="40" t="str">
        <f>VLOOKUP(B3843,辅助信息!E:K,7,FALSE)</f>
        <v>JWDD2025071500089</v>
      </c>
      <c r="E3843" s="40" t="str">
        <f>VLOOKUP(F3843,辅助信息!A:B,2,FALSE)</f>
        <v>螺纹钢</v>
      </c>
      <c r="F3843" s="40" t="s">
        <v>19</v>
      </c>
      <c r="G3843" s="36">
        <v>10</v>
      </c>
      <c r="H3843" s="134">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09" t="str">
        <f>VLOOKUP(B3843,辅助信息!E:J,6,FALSE)</f>
        <v>现场要求调度统一联系指定收货人，不单独发司机位置。锈货不收，装货前联系收货人核实到场规格,没提前告知进场规格现场不给予接收</v>
      </c>
      <c r="O3843" s="62" t="str">
        <f ca="1" t="shared" si="202"/>
        <v/>
      </c>
      <c r="P3843" s="62"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0">
        <v>45925</v>
      </c>
      <c r="D3844" s="40" t="str">
        <f>VLOOKUP(B3844,辅助信息!E:K,7,FALSE)</f>
        <v>JWDD2025071500089</v>
      </c>
      <c r="E3844" s="40" t="str">
        <f>VLOOKUP(F3844,辅助信息!A:B,2,FALSE)</f>
        <v>螺纹钢</v>
      </c>
      <c r="F3844" s="40" t="s">
        <v>32</v>
      </c>
      <c r="G3844" s="36">
        <v>10</v>
      </c>
      <c r="H3844" s="134">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09" t="str">
        <f>VLOOKUP(B3844,辅助信息!E:J,6,FALSE)</f>
        <v>现场要求调度统一联系指定收货人，不单独发司机位置。锈货不收，装货前联系收货人核实到场规格,没提前告知进场规格现场不给予接收</v>
      </c>
      <c r="O3844" s="62" t="str">
        <f ca="1" t="shared" si="202"/>
        <v/>
      </c>
      <c r="P3844" s="62"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0">
        <v>45925</v>
      </c>
      <c r="D3845" s="40" t="str">
        <f>VLOOKUP(B3845,辅助信息!E:K,7,FALSE)</f>
        <v>JWDD2025071500089</v>
      </c>
      <c r="E3845" s="40" t="str">
        <f>VLOOKUP(F3845,辅助信息!A:B,2,FALSE)</f>
        <v>螺纹钢</v>
      </c>
      <c r="F3845" s="40" t="s">
        <v>30</v>
      </c>
      <c r="G3845" s="36">
        <v>10</v>
      </c>
      <c r="H3845" s="134">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09" t="str">
        <f>VLOOKUP(B3845,辅助信息!E:J,6,FALSE)</f>
        <v>现场要求调度统一联系指定收货人，不单独发司机位置。锈货不收，装货前联系收货人核实到场规格,没提前告知进场规格现场不给予接收</v>
      </c>
      <c r="O3845" s="62" t="str">
        <f ca="1" t="shared" si="202"/>
        <v/>
      </c>
      <c r="P3845" s="62"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0">
        <v>45925</v>
      </c>
      <c r="D3846" s="40" t="str">
        <f>VLOOKUP(B3846,辅助信息!E:K,7,FALSE)</f>
        <v>JWDD2025071500089</v>
      </c>
      <c r="E3846" s="40" t="str">
        <f>VLOOKUP(F3846,辅助信息!A:B,2,FALSE)</f>
        <v>螺纹钢</v>
      </c>
      <c r="F3846" s="40" t="s">
        <v>33</v>
      </c>
      <c r="G3846" s="36">
        <v>10</v>
      </c>
      <c r="H3846" s="134">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09" t="str">
        <f>VLOOKUP(B3846,辅助信息!E:J,6,FALSE)</f>
        <v>现场要求调度统一联系指定收货人，不单独发司机位置。锈货不收，装货前联系收货人核实到场规格,没提前告知进场规格现场不给予接收</v>
      </c>
      <c r="O3846" s="62" t="str">
        <f ca="1" t="shared" si="202"/>
        <v/>
      </c>
      <c r="P3846" s="62"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0">
        <v>45925</v>
      </c>
      <c r="D3847" s="40" t="str">
        <f>VLOOKUP(B3847,辅助信息!E:K,7,FALSE)</f>
        <v>JWDD2025071500089</v>
      </c>
      <c r="E3847" s="40" t="str">
        <f>VLOOKUP(F3847,辅助信息!A:B,2,FALSE)</f>
        <v>螺纹钢</v>
      </c>
      <c r="F3847" s="40" t="s">
        <v>28</v>
      </c>
      <c r="G3847" s="36">
        <v>10</v>
      </c>
      <c r="H3847" s="134">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09" t="str">
        <f>VLOOKUP(B3847,辅助信息!E:J,6,FALSE)</f>
        <v>现场要求调度统一联系指定收货人，不单独发司机位置。锈货不收，装货前联系收货人核实到场规格,没提前告知进场规格现场不给予接收</v>
      </c>
      <c r="O3847" s="62" t="str">
        <f ca="1" t="shared" si="202"/>
        <v/>
      </c>
      <c r="P3847" s="62"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0">
        <v>45925</v>
      </c>
      <c r="D3848" s="40" t="str">
        <f>VLOOKUP(B3848,辅助信息!E:K,7,FALSE)</f>
        <v>JWDD2025071500089</v>
      </c>
      <c r="E3848" s="40" t="str">
        <f>VLOOKUP(F3848,辅助信息!A:B,2,FALSE)</f>
        <v>螺纹钢</v>
      </c>
      <c r="F3848" s="40" t="s">
        <v>18</v>
      </c>
      <c r="G3848" s="36">
        <v>10</v>
      </c>
      <c r="H3848" s="134">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09" t="str">
        <f>VLOOKUP(B3848,辅助信息!E:J,6,FALSE)</f>
        <v>现场要求调度统一联系指定收货人，不单独发司机位置。锈货不收，装货前联系收货人核实到场规格,没提前告知进场规格现场不给予接收</v>
      </c>
      <c r="O3848" s="62" t="str">
        <f ca="1" t="shared" si="202"/>
        <v/>
      </c>
      <c r="P3848" s="62"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1" t="s">
        <v>163</v>
      </c>
      <c r="C3849" s="70">
        <v>45927</v>
      </c>
      <c r="D3849" s="120" t="str">
        <f>VLOOKUP(B3849,辅助信息!E:K,7,FALSE)</f>
        <v>JWDDCD2025052800131</v>
      </c>
      <c r="E3849" s="120" t="str">
        <f>VLOOKUP(F3849,辅助信息!A:B,2,FALSE)</f>
        <v>螺纹钢</v>
      </c>
      <c r="F3849" s="120" t="s">
        <v>58</v>
      </c>
      <c r="G3849" s="121">
        <v>15</v>
      </c>
      <c r="H3849" s="134">
        <f>IF(SUMIFS('[1]2025年已发货'!$E:$E,'[1]2025年已发货'!$F:$F,C3849,'[1]2025年已发货'!$C:$C,F3849,'[1]2025年已发货'!$G:$G,I3849,'[1]2025年已发货'!$H:$H,J3849)=0,"未发货",SUMIFS('[1]2025年已发货'!$E:$E,'[1]2025年已发货'!$F:$F,C3849,'[1]2025年已发货'!$C:$C,F3849,'[1]2025年已发货'!$G:$G,I3849,'[1]2025年已发货'!$H:$H,J3849))</f>
        <v>13</v>
      </c>
      <c r="I3849" s="120" t="str">
        <f>VLOOKUP(B3849,辅助信息!E:I,3,FALSE)</f>
        <v>（商投建工达州中医药科技园-4工区-9号楼）达州市通川区达州中医药职业学院犀牛大道北段</v>
      </c>
      <c r="J3849" s="120" t="str">
        <f>VLOOKUP(B3849,辅助信息!E:I,4,FALSE)</f>
        <v>张扬</v>
      </c>
      <c r="K3849" s="120">
        <f>VLOOKUP(J3849,辅助信息!H:I,2,FALSE)</f>
        <v>18381904567</v>
      </c>
      <c r="L3849" s="122" t="str">
        <f>VLOOKUP(B3849,辅助信息!E:J,6,FALSE)</f>
        <v>控制炉批号！多了现场不收！,优先安排达钢,提前联系到场规格及数量</v>
      </c>
      <c r="M3849" s="91">
        <v>45925</v>
      </c>
      <c r="O3849" s="62">
        <f ca="1" t="shared" si="202"/>
        <v>0</v>
      </c>
      <c r="P3849" s="62">
        <f ca="1" t="shared" si="203"/>
        <v>35</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1" t="s">
        <v>163</v>
      </c>
      <c r="C3850" s="70">
        <v>45927</v>
      </c>
      <c r="D3850" s="120" t="str">
        <f>VLOOKUP(B3850,辅助信息!E:K,7,FALSE)</f>
        <v>JWDDCD2025052800131</v>
      </c>
      <c r="E3850" s="120" t="str">
        <f>VLOOKUP(F3850,辅助信息!A:B,2,FALSE)</f>
        <v>螺纹钢</v>
      </c>
      <c r="F3850" s="120" t="s">
        <v>46</v>
      </c>
      <c r="G3850" s="121">
        <v>9</v>
      </c>
      <c r="H3850" s="134">
        <f>IF(SUMIFS('[1]2025年已发货'!$E:$E,'[1]2025年已发货'!$F:$F,C3850,'[1]2025年已发货'!$C:$C,F3850,'[1]2025年已发货'!$G:$G,I3850,'[1]2025年已发货'!$H:$H,J3850)=0,"未发货",SUMIFS('[1]2025年已发货'!$E:$E,'[1]2025年已发货'!$F:$F,C3850,'[1]2025年已发货'!$C:$C,F3850,'[1]2025年已发货'!$G:$G,I3850,'[1]2025年已发货'!$H:$H,J3850))</f>
        <v>8</v>
      </c>
      <c r="I3850" s="120" t="str">
        <f>VLOOKUP(B3850,辅助信息!E:I,3,FALSE)</f>
        <v>（商投建工达州中医药科技园-4工区-9号楼）达州市通川区达州中医药职业学院犀牛大道北段</v>
      </c>
      <c r="J3850" s="120" t="str">
        <f>VLOOKUP(B3850,辅助信息!E:I,4,FALSE)</f>
        <v>张扬</v>
      </c>
      <c r="K3850" s="120">
        <f>VLOOKUP(J3850,辅助信息!H:I,2,FALSE)</f>
        <v>18381904567</v>
      </c>
      <c r="L3850" s="122" t="str">
        <f>VLOOKUP(B3850,辅助信息!E:J,6,FALSE)</f>
        <v>控制炉批号！多了现场不收！,优先安排达钢,提前联系到场规格及数量</v>
      </c>
      <c r="M3850" s="91">
        <v>45925</v>
      </c>
      <c r="O3850" s="62">
        <f ca="1" t="shared" si="202"/>
        <v>0</v>
      </c>
      <c r="P3850" s="62">
        <f ca="1" t="shared" si="203"/>
        <v>35</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1" t="s">
        <v>163</v>
      </c>
      <c r="C3851" s="70">
        <v>45927</v>
      </c>
      <c r="D3851" s="120" t="str">
        <f>VLOOKUP(B3851,辅助信息!E:K,7,FALSE)</f>
        <v>JWDDCD2025052800131</v>
      </c>
      <c r="E3851" s="120" t="str">
        <f>VLOOKUP(F3851,辅助信息!A:B,2,FALSE)</f>
        <v>螺纹钢</v>
      </c>
      <c r="F3851" s="120" t="s">
        <v>22</v>
      </c>
      <c r="G3851" s="121">
        <v>15</v>
      </c>
      <c r="H3851" s="134">
        <f>IF(SUMIFS('[1]2025年已发货'!$E:$E,'[1]2025年已发货'!$F:$F,C3851,'[1]2025年已发货'!$C:$C,F3851,'[1]2025年已发货'!$G:$G,I3851,'[1]2025年已发货'!$H:$H,J3851)=0,"未发货",SUMIFS('[1]2025年已发货'!$E:$E,'[1]2025年已发货'!$F:$F,C3851,'[1]2025年已发货'!$C:$C,F3851,'[1]2025年已发货'!$G:$G,I3851,'[1]2025年已发货'!$H:$H,J3851))</f>
        <v>13</v>
      </c>
      <c r="I3851" s="120" t="str">
        <f>VLOOKUP(B3851,辅助信息!E:I,3,FALSE)</f>
        <v>（商投建工达州中医药科技园-4工区-9号楼）达州市通川区达州中医药职业学院犀牛大道北段</v>
      </c>
      <c r="J3851" s="120" t="str">
        <f>VLOOKUP(B3851,辅助信息!E:I,4,FALSE)</f>
        <v>张扬</v>
      </c>
      <c r="K3851" s="120">
        <f>VLOOKUP(J3851,辅助信息!H:I,2,FALSE)</f>
        <v>18381904567</v>
      </c>
      <c r="L3851" s="122" t="str">
        <f>VLOOKUP(B3851,辅助信息!E:J,6,FALSE)</f>
        <v>控制炉批号！多了现场不收！,优先安排达钢,提前联系到场规格及数量</v>
      </c>
      <c r="M3851" s="91">
        <v>45925</v>
      </c>
      <c r="O3851" s="62">
        <f ca="1" t="shared" si="202"/>
        <v>0</v>
      </c>
      <c r="P3851" s="62">
        <f ca="1" t="shared" si="203"/>
        <v>35</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1" t="s">
        <v>112</v>
      </c>
      <c r="C3852" s="70">
        <v>45927</v>
      </c>
      <c r="D3852" s="120" t="str">
        <f>VLOOKUP(B3852,辅助信息!E:K,7,FALSE)</f>
        <v>JWDDCD2025052800131</v>
      </c>
      <c r="E3852" s="120" t="str">
        <f>VLOOKUP(F3852,辅助信息!A:B,2,FALSE)</f>
        <v>盘螺</v>
      </c>
      <c r="F3852" s="120" t="s">
        <v>40</v>
      </c>
      <c r="G3852" s="121">
        <v>15</v>
      </c>
      <c r="H3852" s="134">
        <f>IF(SUMIFS('[1]2025年已发货'!$E:$E,'[1]2025年已发货'!$F:$F,C3852,'[1]2025年已发货'!$C:$C,F3852,'[1]2025年已发货'!$G:$G,I3852,'[1]2025年已发货'!$H:$H,J3852)=0,"未发货",SUMIFS('[1]2025年已发货'!$E:$E,'[1]2025年已发货'!$F:$F,C3852,'[1]2025年已发货'!$C:$C,F3852,'[1]2025年已发货'!$G:$G,I3852,'[1]2025年已发货'!$H:$H,J3852))</f>
        <v>28</v>
      </c>
      <c r="I3852" s="120" t="str">
        <f>VLOOKUP(B3852,辅助信息!E:I,3,FALSE)</f>
        <v>（商投建工达州中医药科技园-4工区-10号楼）达州市通川区达州中医药职业学院犀牛大道北段</v>
      </c>
      <c r="J3852" s="120" t="str">
        <f>VLOOKUP(B3852,辅助信息!E:I,4,FALSE)</f>
        <v>张扬</v>
      </c>
      <c r="K3852" s="120">
        <f>VLOOKUP(J3852,辅助信息!H:I,2,FALSE)</f>
        <v>18381904567</v>
      </c>
      <c r="L3852" s="122" t="str">
        <f>VLOOKUP(B3852,辅助信息!E:J,6,FALSE)</f>
        <v>控制炉批号！多了现场不收！,优先安排达钢,提前联系到场规格及数量</v>
      </c>
      <c r="M3852" s="91">
        <v>45925</v>
      </c>
      <c r="O3852" s="62">
        <f ca="1" t="shared" si="202"/>
        <v>0</v>
      </c>
      <c r="P3852" s="62">
        <f ca="1" t="shared" si="203"/>
        <v>35</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1" t="s">
        <v>112</v>
      </c>
      <c r="C3853" s="70">
        <v>45927</v>
      </c>
      <c r="D3853" s="120" t="str">
        <f>VLOOKUP(B3853,辅助信息!E:K,7,FALSE)</f>
        <v>JWDDCD2025052800131</v>
      </c>
      <c r="E3853" s="120" t="str">
        <f>VLOOKUP(F3853,辅助信息!A:B,2,FALSE)</f>
        <v>螺纹钢</v>
      </c>
      <c r="F3853" s="120" t="s">
        <v>32</v>
      </c>
      <c r="G3853" s="121">
        <v>3</v>
      </c>
      <c r="H3853" s="134">
        <f>IF(SUMIFS('[1]2025年已发货'!$E:$E,'[1]2025年已发货'!$F:$F,C3853,'[1]2025年已发货'!$C:$C,F3853,'[1]2025年已发货'!$G:$G,I3853,'[1]2025年已发货'!$H:$H,J3853)=0,"未发货",SUMIFS('[1]2025年已发货'!$E:$E,'[1]2025年已发货'!$F:$F,C3853,'[1]2025年已发货'!$C:$C,F3853,'[1]2025年已发货'!$G:$G,I3853,'[1]2025年已发货'!$H:$H,J3853))</f>
        <v>3</v>
      </c>
      <c r="I3853" s="120" t="str">
        <f>VLOOKUP(B3853,辅助信息!E:I,3,FALSE)</f>
        <v>（商投建工达州中医药科技园-4工区-10号楼）达州市通川区达州中医药职业学院犀牛大道北段</v>
      </c>
      <c r="J3853" s="120" t="str">
        <f>VLOOKUP(B3853,辅助信息!E:I,4,FALSE)</f>
        <v>张扬</v>
      </c>
      <c r="K3853" s="120">
        <f>VLOOKUP(J3853,辅助信息!H:I,2,FALSE)</f>
        <v>18381904567</v>
      </c>
      <c r="L3853" s="122" t="str">
        <f>VLOOKUP(B3853,辅助信息!E:J,6,FALSE)</f>
        <v>控制炉批号！多了现场不收！,优先安排达钢,提前联系到场规格及数量</v>
      </c>
      <c r="M3853" s="91"/>
      <c r="O3853" s="62" t="str">
        <f ca="1" t="shared" si="202"/>
        <v/>
      </c>
      <c r="P3853" s="62"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1" t="s">
        <v>112</v>
      </c>
      <c r="C3854" s="70">
        <v>45927</v>
      </c>
      <c r="D3854" s="120" t="str">
        <f>VLOOKUP(B3854,辅助信息!E:K,7,FALSE)</f>
        <v>JWDDCD2025052800131</v>
      </c>
      <c r="E3854" s="120" t="str">
        <f>VLOOKUP(F3854,辅助信息!A:B,2,FALSE)</f>
        <v>螺纹钢</v>
      </c>
      <c r="F3854" s="120" t="s">
        <v>28</v>
      </c>
      <c r="G3854" s="121">
        <v>6</v>
      </c>
      <c r="H3854" s="134">
        <f>IF(SUMIFS('[1]2025年已发货'!$E:$E,'[1]2025年已发货'!$F:$F,C3854,'[1]2025年已发货'!$C:$C,F3854,'[1]2025年已发货'!$G:$G,I3854,'[1]2025年已发货'!$H:$H,J3854)=0,"未发货",SUMIFS('[1]2025年已发货'!$E:$E,'[1]2025年已发货'!$F:$F,C3854,'[1]2025年已发货'!$C:$C,F3854,'[1]2025年已发货'!$G:$G,I3854,'[1]2025年已发货'!$H:$H,J3854))</f>
        <v>6</v>
      </c>
      <c r="I3854" s="120" t="str">
        <f>VLOOKUP(B3854,辅助信息!E:I,3,FALSE)</f>
        <v>（商投建工达州中医药科技园-4工区-10号楼）达州市通川区达州中医药职业学院犀牛大道北段</v>
      </c>
      <c r="J3854" s="120" t="str">
        <f>VLOOKUP(B3854,辅助信息!E:I,4,FALSE)</f>
        <v>张扬</v>
      </c>
      <c r="K3854" s="120">
        <f>VLOOKUP(J3854,辅助信息!H:I,2,FALSE)</f>
        <v>18381904567</v>
      </c>
      <c r="L3854" s="122" t="str">
        <f>VLOOKUP(B3854,辅助信息!E:J,6,FALSE)</f>
        <v>控制炉批号！多了现场不收！,优先安排达钢,提前联系到场规格及数量</v>
      </c>
      <c r="M3854" s="91">
        <v>45925</v>
      </c>
      <c r="O3854" s="62">
        <f ca="1" t="shared" si="202"/>
        <v>0</v>
      </c>
      <c r="P3854" s="62">
        <f ca="1" t="shared" si="203"/>
        <v>35</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1" t="s">
        <v>112</v>
      </c>
      <c r="C3855" s="70">
        <v>45927</v>
      </c>
      <c r="D3855" s="120" t="str">
        <f>VLOOKUP(B3855,辅助信息!E:K,7,FALSE)</f>
        <v>JWDDCD2025052800131</v>
      </c>
      <c r="E3855" s="120" t="str">
        <f>VLOOKUP(F3855,辅助信息!A:B,2,FALSE)</f>
        <v>螺纹钢</v>
      </c>
      <c r="F3855" s="120" t="s">
        <v>45</v>
      </c>
      <c r="G3855" s="121">
        <v>6</v>
      </c>
      <c r="H3855" s="134">
        <f>IF(SUMIFS('[1]2025年已发货'!$E:$E,'[1]2025年已发货'!$F:$F,C3855,'[1]2025年已发货'!$C:$C,F3855,'[1]2025年已发货'!$G:$G,I3855,'[1]2025年已发货'!$H:$H,J3855)=0,"未发货",SUMIFS('[1]2025年已发货'!$E:$E,'[1]2025年已发货'!$F:$F,C3855,'[1]2025年已发货'!$C:$C,F3855,'[1]2025年已发货'!$G:$G,I3855,'[1]2025年已发货'!$H:$H,J3855))</f>
        <v>5</v>
      </c>
      <c r="I3855" s="120" t="str">
        <f>VLOOKUP(B3855,辅助信息!E:I,3,FALSE)</f>
        <v>（商投建工达州中医药科技园-4工区-10号楼）达州市通川区达州中医药职业学院犀牛大道北段</v>
      </c>
      <c r="J3855" s="120" t="str">
        <f>VLOOKUP(B3855,辅助信息!E:I,4,FALSE)</f>
        <v>张扬</v>
      </c>
      <c r="K3855" s="120">
        <f>VLOOKUP(J3855,辅助信息!H:I,2,FALSE)</f>
        <v>18381904567</v>
      </c>
      <c r="L3855" s="122" t="str">
        <f>VLOOKUP(B3855,辅助信息!E:J,6,FALSE)</f>
        <v>控制炉批号！多了现场不收！,优先安排达钢,提前联系到场规格及数量</v>
      </c>
      <c r="M3855" s="91">
        <v>45925</v>
      </c>
      <c r="O3855" s="62">
        <f ca="1" t="shared" si="202"/>
        <v>0</v>
      </c>
      <c r="P3855" s="62">
        <f ca="1" t="shared" si="203"/>
        <v>35</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1" t="s">
        <v>112</v>
      </c>
      <c r="C3856" s="70">
        <v>45927</v>
      </c>
      <c r="D3856" s="120" t="str">
        <f>VLOOKUP(B3856,辅助信息!E:K,7,FALSE)</f>
        <v>JWDDCD2025052800131</v>
      </c>
      <c r="E3856" s="120" t="str">
        <f>VLOOKUP(F3856,辅助信息!A:B,2,FALSE)</f>
        <v>螺纹钢</v>
      </c>
      <c r="F3856" s="120" t="s">
        <v>21</v>
      </c>
      <c r="G3856" s="121">
        <v>12</v>
      </c>
      <c r="H3856" s="134">
        <f>IF(SUMIFS('[1]2025年已发货'!$E:$E,'[1]2025年已发货'!$F:$F,C3856,'[1]2025年已发货'!$C:$C,F3856,'[1]2025年已发货'!$G:$G,I3856,'[1]2025年已发货'!$H:$H,J3856)=0,"未发货",SUMIFS('[1]2025年已发货'!$E:$E,'[1]2025年已发货'!$F:$F,C3856,'[1]2025年已发货'!$C:$C,F3856,'[1]2025年已发货'!$G:$G,I3856,'[1]2025年已发货'!$H:$H,J3856))</f>
        <v>10</v>
      </c>
      <c r="I3856" s="120" t="str">
        <f>VLOOKUP(B3856,辅助信息!E:I,3,FALSE)</f>
        <v>（商投建工达州中医药科技园-4工区-10号楼）达州市通川区达州中医药职业学院犀牛大道北段</v>
      </c>
      <c r="J3856" s="120" t="str">
        <f>VLOOKUP(B3856,辅助信息!E:I,4,FALSE)</f>
        <v>张扬</v>
      </c>
      <c r="K3856" s="120">
        <f>VLOOKUP(J3856,辅助信息!H:I,2,FALSE)</f>
        <v>18381904567</v>
      </c>
      <c r="L3856" s="122" t="str">
        <f>VLOOKUP(B3856,辅助信息!E:J,6,FALSE)</f>
        <v>控制炉批号！多了现场不收！,优先安排达钢,提前联系到场规格及数量</v>
      </c>
      <c r="M3856" s="91">
        <v>45925</v>
      </c>
      <c r="O3856" s="62">
        <f ca="1" t="shared" si="202"/>
        <v>0</v>
      </c>
      <c r="P3856" s="62">
        <f ca="1" t="shared" si="203"/>
        <v>35</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1" t="s">
        <v>112</v>
      </c>
      <c r="C3857" s="70">
        <v>45927</v>
      </c>
      <c r="D3857" s="120" t="str">
        <f>VLOOKUP(B3857,辅助信息!E:K,7,FALSE)</f>
        <v>JWDDCD2025052800131</v>
      </c>
      <c r="E3857" s="120" t="str">
        <f>VLOOKUP(F3857,辅助信息!A:B,2,FALSE)</f>
        <v>螺纹钢</v>
      </c>
      <c r="F3857" s="120" t="s">
        <v>58</v>
      </c>
      <c r="G3857" s="121">
        <v>12</v>
      </c>
      <c r="H3857" s="134">
        <f>IF(SUMIFS('[1]2025年已发货'!$E:$E,'[1]2025年已发货'!$F:$F,C3857,'[1]2025年已发货'!$C:$C,F3857,'[1]2025年已发货'!$G:$G,I3857,'[1]2025年已发货'!$H:$H,J3857)=0,"未发货",SUMIFS('[1]2025年已发货'!$E:$E,'[1]2025年已发货'!$F:$F,C3857,'[1]2025年已发货'!$C:$C,F3857,'[1]2025年已发货'!$G:$G,I3857,'[1]2025年已发货'!$H:$H,J3857))</f>
        <v>13</v>
      </c>
      <c r="I3857" s="120" t="str">
        <f>VLOOKUP(B3857,辅助信息!E:I,3,FALSE)</f>
        <v>（商投建工达州中医药科技园-4工区-10号楼）达州市通川区达州中医药职业学院犀牛大道北段</v>
      </c>
      <c r="J3857" s="120" t="str">
        <f>VLOOKUP(B3857,辅助信息!E:I,4,FALSE)</f>
        <v>张扬</v>
      </c>
      <c r="K3857" s="120">
        <f>VLOOKUP(J3857,辅助信息!H:I,2,FALSE)</f>
        <v>18381904567</v>
      </c>
      <c r="L3857" s="122" t="str">
        <f>VLOOKUP(B3857,辅助信息!E:J,6,FALSE)</f>
        <v>控制炉批号！多了现场不收！,优先安排达钢,提前联系到场规格及数量</v>
      </c>
      <c r="M3857" s="91">
        <v>45925</v>
      </c>
      <c r="O3857" s="62">
        <f ca="1" t="shared" si="202"/>
        <v>0</v>
      </c>
      <c r="P3857" s="62">
        <f ca="1" t="shared" si="203"/>
        <v>35</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1" t="s">
        <v>112</v>
      </c>
      <c r="C3858" s="70">
        <v>45927</v>
      </c>
      <c r="D3858" s="120" t="str">
        <f>VLOOKUP(B3858,辅助信息!E:K,7,FALSE)</f>
        <v>JWDDCD2025052800131</v>
      </c>
      <c r="E3858" s="120" t="str">
        <f>VLOOKUP(F3858,辅助信息!A:B,2,FALSE)</f>
        <v>螺纹钢</v>
      </c>
      <c r="F3858" s="120" t="s">
        <v>22</v>
      </c>
      <c r="G3858" s="121">
        <v>6</v>
      </c>
      <c r="H3858" s="134">
        <f>IF(SUMIFS('[1]2025年已发货'!$E:$E,'[1]2025年已发货'!$F:$F,C3858,'[1]2025年已发货'!$C:$C,F3858,'[1]2025年已发货'!$G:$G,I3858,'[1]2025年已发货'!$H:$H,J3858)=0,"未发货",SUMIFS('[1]2025年已发货'!$E:$E,'[1]2025年已发货'!$F:$F,C3858,'[1]2025年已发货'!$C:$C,F3858,'[1]2025年已发货'!$G:$G,I3858,'[1]2025年已发货'!$H:$H,J3858))</f>
        <v>5</v>
      </c>
      <c r="I3858" s="120" t="str">
        <f>VLOOKUP(B3858,辅助信息!E:I,3,FALSE)</f>
        <v>（商投建工达州中医药科技园-4工区-10号楼）达州市通川区达州中医药职业学院犀牛大道北段</v>
      </c>
      <c r="J3858" s="120" t="str">
        <f>VLOOKUP(B3858,辅助信息!E:I,4,FALSE)</f>
        <v>张扬</v>
      </c>
      <c r="K3858" s="120">
        <f>VLOOKUP(J3858,辅助信息!H:I,2,FALSE)</f>
        <v>18381904567</v>
      </c>
      <c r="L3858" s="122" t="str">
        <f>VLOOKUP(B3858,辅助信息!E:J,6,FALSE)</f>
        <v>控制炉批号！多了现场不收！,优先安排达钢,提前联系到场规格及数量</v>
      </c>
      <c r="M3858" s="91">
        <v>45925</v>
      </c>
      <c r="O3858" s="62">
        <f ca="1" t="shared" si="202"/>
        <v>0</v>
      </c>
      <c r="P3858" s="62">
        <f ca="1" t="shared" si="203"/>
        <v>35</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4" t="s">
        <v>227</v>
      </c>
      <c r="B3859" s="136" t="s">
        <v>81</v>
      </c>
      <c r="C3859" s="70">
        <v>45927</v>
      </c>
      <c r="D3859" s="120" t="str">
        <f>VLOOKUP(B3859,辅助信息!E:K,7,FALSE)</f>
        <v>JWDDCD2025060900080</v>
      </c>
      <c r="E3859" s="120" t="str">
        <f>VLOOKUP(F3859,辅助信息!A:B,2,FALSE)</f>
        <v>螺纹钢</v>
      </c>
      <c r="F3859" s="120" t="s">
        <v>19</v>
      </c>
      <c r="G3859" s="121">
        <v>30</v>
      </c>
      <c r="H3859" s="134"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0" t="str">
        <f>VLOOKUP(B3859,辅助信息!E:I,3,FALSE)</f>
        <v>（华西简阳西城嘉苑）四川省成都市简阳市简城街道高屋村</v>
      </c>
      <c r="J3859" s="120" t="str">
        <f>VLOOKUP(B3859,辅助信息!E:I,4,FALSE)</f>
        <v>张瀚镭</v>
      </c>
      <c r="K3859" s="120">
        <f>VLOOKUP(J3859,辅助信息!H:I,2,FALSE)</f>
        <v>15884666220</v>
      </c>
      <c r="L3859" s="122" t="str">
        <f>VLOOKUP(B3859,辅助信息!E:J,6,FALSE)</f>
        <v>现场禁止使用氢能源挂车！优先威钢发货,我方卸车,新老国标钢厂不加价可直发，因陕钢多次出现磅差，项目拒绝使用</v>
      </c>
      <c r="O3859" s="62" t="str">
        <f ca="1" t="shared" si="202"/>
        <v/>
      </c>
      <c r="P3859" s="62" t="str">
        <f ca="1" t="shared" si="203"/>
        <v/>
      </c>
      <c r="Q3859" s="29" t="str">
        <f>VLOOKUP(B3859,辅助信息!E:M,9,FALSE)</f>
        <v>ZTWM-CDGS-XS-2024-0030-华西集采-简州大道</v>
      </c>
      <c r="R3859" s="29" t="str">
        <f>_xlfn._xlws.FILTER(辅助信息!D:D,辅助信息!E:E=B3859)</f>
        <v>华西简阳西城嘉苑</v>
      </c>
    </row>
    <row r="3860" hidden="1" spans="1:18">
      <c r="A3860" s="154"/>
      <c r="B3860" s="136" t="s">
        <v>81</v>
      </c>
      <c r="C3860" s="70">
        <v>45927</v>
      </c>
      <c r="D3860" s="120" t="str">
        <f>VLOOKUP(B3860,辅助信息!E:K,7,FALSE)</f>
        <v>JWDDCD2025060900080</v>
      </c>
      <c r="E3860" s="120" t="str">
        <f>VLOOKUP(F3860,辅助信息!A:B,2,FALSE)</f>
        <v>螺纹钢</v>
      </c>
      <c r="F3860" s="120" t="s">
        <v>32</v>
      </c>
      <c r="G3860" s="121">
        <v>50</v>
      </c>
      <c r="H3860" s="134"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0" t="str">
        <f>VLOOKUP(B3860,辅助信息!E:I,3,FALSE)</f>
        <v>（华西简阳西城嘉苑）四川省成都市简阳市简城街道高屋村</v>
      </c>
      <c r="J3860" s="120" t="str">
        <f>VLOOKUP(B3860,辅助信息!E:I,4,FALSE)</f>
        <v>张瀚镭</v>
      </c>
      <c r="K3860" s="120">
        <f>VLOOKUP(J3860,辅助信息!H:I,2,FALSE)</f>
        <v>15884666220</v>
      </c>
      <c r="L3860" s="122" t="str">
        <f>VLOOKUP(B3860,辅助信息!E:J,6,FALSE)</f>
        <v>现场禁止使用氢能源挂车！优先威钢发货,我方卸车,新老国标钢厂不加价可直发，因陕钢多次出现磅差，项目拒绝使用</v>
      </c>
      <c r="O3860" s="62" t="str">
        <f ca="1" t="shared" si="202"/>
        <v/>
      </c>
      <c r="P3860" s="62" t="str">
        <f ca="1" t="shared" si="203"/>
        <v/>
      </c>
      <c r="Q3860" s="29" t="str">
        <f>VLOOKUP(B3860,辅助信息!E:M,9,FALSE)</f>
        <v>ZTWM-CDGS-XS-2024-0030-华西集采-简州大道</v>
      </c>
      <c r="R3860" s="29" t="str">
        <f>_xlfn._xlws.FILTER(辅助信息!D:D,辅助信息!E:E=B3860)</f>
        <v>华西简阳西城嘉苑</v>
      </c>
    </row>
    <row r="3861" hidden="1" spans="2:18">
      <c r="B3861" s="131" t="s">
        <v>81</v>
      </c>
      <c r="C3861" s="70">
        <v>45927</v>
      </c>
      <c r="D3861" s="120" t="str">
        <f>VLOOKUP(B3861,辅助信息!E:K,7,FALSE)</f>
        <v>JWDDCD2025060900080</v>
      </c>
      <c r="E3861" s="120" t="str">
        <f>VLOOKUP(F3861,辅助信息!A:B,2,FALSE)</f>
        <v>螺纹钢</v>
      </c>
      <c r="F3861" s="120" t="s">
        <v>30</v>
      </c>
      <c r="G3861" s="121">
        <v>18</v>
      </c>
      <c r="H3861" s="134"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0" t="str">
        <f>VLOOKUP(B3861,辅助信息!E:I,3,FALSE)</f>
        <v>（华西简阳西城嘉苑）四川省成都市简阳市简城街道高屋村</v>
      </c>
      <c r="J3861" s="120" t="str">
        <f>VLOOKUP(B3861,辅助信息!E:I,4,FALSE)</f>
        <v>张瀚镭</v>
      </c>
      <c r="K3861" s="120">
        <f>VLOOKUP(J3861,辅助信息!H:I,2,FALSE)</f>
        <v>15884666220</v>
      </c>
      <c r="L3861" s="122" t="str">
        <f>VLOOKUP(B3861,辅助信息!E:J,6,FALSE)</f>
        <v>现场禁止使用氢能源挂车！优先威钢发货,我方卸车,新老国标钢厂不加价可直发，因陕钢多次出现磅差，项目拒绝使用</v>
      </c>
      <c r="M3861" s="148">
        <v>45929</v>
      </c>
      <c r="O3861" s="62">
        <f ca="1" t="shared" si="202"/>
        <v>0</v>
      </c>
      <c r="P3861" s="62">
        <f ca="1" t="shared" si="203"/>
        <v>31</v>
      </c>
      <c r="Q3861" s="29" t="str">
        <f>VLOOKUP(B3861,辅助信息!E:M,9,FALSE)</f>
        <v>ZTWM-CDGS-XS-2024-0030-华西集采-简州大道</v>
      </c>
      <c r="R3861" s="29" t="str">
        <f>_xlfn._xlws.FILTER(辅助信息!D:D,辅助信息!E:E=B3861)</f>
        <v>华西简阳西城嘉苑</v>
      </c>
    </row>
    <row r="3862" hidden="1" spans="2:18">
      <c r="B3862" s="131" t="s">
        <v>81</v>
      </c>
      <c r="C3862" s="70">
        <v>45927</v>
      </c>
      <c r="D3862" s="120" t="str">
        <f>VLOOKUP(B3862,辅助信息!E:K,7,FALSE)</f>
        <v>JWDDCD2025060900080</v>
      </c>
      <c r="E3862" s="120" t="str">
        <f>VLOOKUP(F3862,辅助信息!A:B,2,FALSE)</f>
        <v>螺纹钢</v>
      </c>
      <c r="F3862" s="120" t="s">
        <v>33</v>
      </c>
      <c r="G3862" s="121">
        <v>18</v>
      </c>
      <c r="H3862" s="134"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0" t="str">
        <f>VLOOKUP(B3862,辅助信息!E:I,3,FALSE)</f>
        <v>（华西简阳西城嘉苑）四川省成都市简阳市简城街道高屋村</v>
      </c>
      <c r="J3862" s="120" t="str">
        <f>VLOOKUP(B3862,辅助信息!E:I,4,FALSE)</f>
        <v>张瀚镭</v>
      </c>
      <c r="K3862" s="120">
        <f>VLOOKUP(J3862,辅助信息!H:I,2,FALSE)</f>
        <v>15884666220</v>
      </c>
      <c r="L3862" s="122" t="str">
        <f>VLOOKUP(B3862,辅助信息!E:J,6,FALSE)</f>
        <v>现场禁止使用氢能源挂车！优先威钢发货,我方卸车,新老国标钢厂不加价可直发，因陕钢多次出现磅差，项目拒绝使用</v>
      </c>
      <c r="M3862" s="148">
        <v>45929</v>
      </c>
      <c r="O3862" s="62">
        <f ca="1" t="shared" si="202"/>
        <v>0</v>
      </c>
      <c r="P3862" s="62">
        <f ca="1" t="shared" si="203"/>
        <v>31</v>
      </c>
      <c r="Q3862" s="29" t="str">
        <f>VLOOKUP(B3862,辅助信息!E:M,9,FALSE)</f>
        <v>ZTWM-CDGS-XS-2024-0030-华西集采-简州大道</v>
      </c>
      <c r="R3862" s="29" t="str">
        <f>_xlfn._xlws.FILTER(辅助信息!D:D,辅助信息!E:E=B3862)</f>
        <v>华西简阳西城嘉苑</v>
      </c>
    </row>
    <row r="3863" hidden="1" spans="2:18">
      <c r="B3863" s="131" t="s">
        <v>81</v>
      </c>
      <c r="C3863" s="70">
        <v>45927</v>
      </c>
      <c r="D3863" s="120" t="str">
        <f>VLOOKUP(B3863,辅助信息!E:K,7,FALSE)</f>
        <v>JWDDCD2025060900080</v>
      </c>
      <c r="E3863" s="120" t="str">
        <f>VLOOKUP(F3863,辅助信息!A:B,2,FALSE)</f>
        <v>螺纹钢</v>
      </c>
      <c r="F3863" s="120" t="s">
        <v>28</v>
      </c>
      <c r="G3863" s="121">
        <v>2.5</v>
      </c>
      <c r="H3863" s="134"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0" t="str">
        <f>VLOOKUP(B3863,辅助信息!E:I,3,FALSE)</f>
        <v>（华西简阳西城嘉苑）四川省成都市简阳市简城街道高屋村</v>
      </c>
      <c r="J3863" s="120" t="str">
        <f>VLOOKUP(B3863,辅助信息!E:I,4,FALSE)</f>
        <v>张瀚镭</v>
      </c>
      <c r="K3863" s="120">
        <f>VLOOKUP(J3863,辅助信息!H:I,2,FALSE)</f>
        <v>15884666220</v>
      </c>
      <c r="L3863" s="122" t="str">
        <f>VLOOKUP(B3863,辅助信息!E:J,6,FALSE)</f>
        <v>现场禁止使用氢能源挂车！优先威钢发货,我方卸车,新老国标钢厂不加价可直发，因陕钢多次出现磅差，项目拒绝使用</v>
      </c>
      <c r="M3863" s="148">
        <v>45929</v>
      </c>
      <c r="O3863" s="62">
        <f ca="1" t="shared" si="202"/>
        <v>0</v>
      </c>
      <c r="P3863" s="62">
        <f ca="1" t="shared" si="203"/>
        <v>31</v>
      </c>
      <c r="Q3863" s="29" t="str">
        <f>VLOOKUP(B3863,辅助信息!E:M,9,FALSE)</f>
        <v>ZTWM-CDGS-XS-2024-0030-华西集采-简州大道</v>
      </c>
      <c r="R3863" s="29" t="str">
        <f>_xlfn._xlws.FILTER(辅助信息!D:D,辅助信息!E:E=B3863)</f>
        <v>华西简阳西城嘉苑</v>
      </c>
    </row>
    <row r="3864" hidden="1" spans="2:18">
      <c r="B3864" s="131" t="s">
        <v>81</v>
      </c>
      <c r="C3864" s="70">
        <v>45927</v>
      </c>
      <c r="D3864" s="120" t="str">
        <f>VLOOKUP(B3864,辅助信息!E:K,7,FALSE)</f>
        <v>JWDDCD2025060900080</v>
      </c>
      <c r="E3864" s="120" t="str">
        <f>VLOOKUP(F3864,辅助信息!A:B,2,FALSE)</f>
        <v>螺纹钢</v>
      </c>
      <c r="F3864" s="120" t="s">
        <v>58</v>
      </c>
      <c r="G3864" s="121">
        <v>21</v>
      </c>
      <c r="H3864" s="134"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0" t="str">
        <f>VLOOKUP(B3864,辅助信息!E:I,3,FALSE)</f>
        <v>（华西简阳西城嘉苑）四川省成都市简阳市简城街道高屋村</v>
      </c>
      <c r="J3864" s="120" t="str">
        <f>VLOOKUP(B3864,辅助信息!E:I,4,FALSE)</f>
        <v>张瀚镭</v>
      </c>
      <c r="K3864" s="120">
        <f>VLOOKUP(J3864,辅助信息!H:I,2,FALSE)</f>
        <v>15884666220</v>
      </c>
      <c r="L3864" s="122" t="str">
        <f>VLOOKUP(B3864,辅助信息!E:J,6,FALSE)</f>
        <v>现场禁止使用氢能源挂车！优先威钢发货,我方卸车,新老国标钢厂不加价可直发，因陕钢多次出现磅差，项目拒绝使用</v>
      </c>
      <c r="M3864" s="148">
        <v>45929</v>
      </c>
      <c r="O3864" s="62">
        <f ca="1" t="shared" si="202"/>
        <v>0</v>
      </c>
      <c r="P3864" s="62">
        <f ca="1" t="shared" si="203"/>
        <v>31</v>
      </c>
      <c r="Q3864" s="29" t="str">
        <f>VLOOKUP(B3864,辅助信息!E:M,9,FALSE)</f>
        <v>ZTWM-CDGS-XS-2024-0030-华西集采-简州大道</v>
      </c>
      <c r="R3864" s="29" t="str">
        <f>_xlfn._xlws.FILTER(辅助信息!D:D,辅助信息!E:E=B3864)</f>
        <v>华西简阳西城嘉苑</v>
      </c>
    </row>
    <row r="3865" hidden="1" spans="2:18">
      <c r="B3865" s="120" t="s">
        <v>81</v>
      </c>
      <c r="C3865" s="70">
        <v>45926</v>
      </c>
      <c r="D3865" s="120" t="str">
        <f>VLOOKUP(B3865,辅助信息!E:K,7,FALSE)</f>
        <v>JWDDCD2025060900080</v>
      </c>
      <c r="E3865" s="120" t="str">
        <f>VLOOKUP(F3865,辅助信息!A:B,2,FALSE)</f>
        <v>螺纹钢</v>
      </c>
      <c r="F3865" s="120" t="s">
        <v>46</v>
      </c>
      <c r="G3865" s="121">
        <v>8</v>
      </c>
      <c r="H3865" s="134"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0" t="str">
        <f>VLOOKUP(B3865,辅助信息!E:I,3,FALSE)</f>
        <v>（华西简阳西城嘉苑）四川省成都市简阳市简城街道高屋村</v>
      </c>
      <c r="J3865" s="120" t="str">
        <f>VLOOKUP(B3865,辅助信息!E:I,4,FALSE)</f>
        <v>张瀚镭</v>
      </c>
      <c r="K3865" s="120">
        <f>VLOOKUP(J3865,辅助信息!H:I,2,FALSE)</f>
        <v>15884666220</v>
      </c>
      <c r="L3865" s="122" t="str">
        <f>VLOOKUP(B3865,辅助信息!E:J,6,FALSE)</f>
        <v>现场禁止使用氢能源挂车！优先威钢发货,我方卸车,新老国标钢厂不加价可直发，因陕钢多次出现磅差，项目拒绝使用</v>
      </c>
      <c r="O3865" s="62" t="str">
        <f ca="1" t="shared" si="202"/>
        <v/>
      </c>
      <c r="P3865" s="62" t="str">
        <f ca="1" t="shared" si="203"/>
        <v/>
      </c>
      <c r="Q3865" s="29" t="str">
        <f>VLOOKUP(B3865,辅助信息!E:M,9,FALSE)</f>
        <v>ZTWM-CDGS-XS-2024-0030-华西集采-简州大道</v>
      </c>
      <c r="R3865" s="29" t="str">
        <f>_xlfn._xlws.FILTER(辅助信息!D:D,辅助信息!E:E=B3865)</f>
        <v>华西简阳西城嘉苑</v>
      </c>
    </row>
    <row r="3866" hidden="1" spans="2:18">
      <c r="B3866" s="120" t="s">
        <v>81</v>
      </c>
      <c r="C3866" s="70">
        <v>45926</v>
      </c>
      <c r="D3866" s="120" t="str">
        <f>VLOOKUP(B3866,辅助信息!E:K,7,FALSE)</f>
        <v>JWDDCD2025060900080</v>
      </c>
      <c r="E3866" s="120" t="str">
        <f>VLOOKUP(F3866,辅助信息!A:B,2,FALSE)</f>
        <v>螺纹钢</v>
      </c>
      <c r="F3866" s="120" t="s">
        <v>22</v>
      </c>
      <c r="G3866" s="121">
        <v>30</v>
      </c>
      <c r="H3866" s="134"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0" t="str">
        <f>VLOOKUP(B3866,辅助信息!E:I,3,FALSE)</f>
        <v>（华西简阳西城嘉苑）四川省成都市简阳市简城街道高屋村</v>
      </c>
      <c r="J3866" s="120" t="str">
        <f>VLOOKUP(B3866,辅助信息!E:I,4,FALSE)</f>
        <v>张瀚镭</v>
      </c>
      <c r="K3866" s="120">
        <f>VLOOKUP(J3866,辅助信息!H:I,2,FALSE)</f>
        <v>15884666220</v>
      </c>
      <c r="L3866" s="122" t="str">
        <f>VLOOKUP(B3866,辅助信息!E:J,6,FALSE)</f>
        <v>现场禁止使用氢能源挂车！优先威钢发货,我方卸车,新老国标钢厂不加价可直发，因陕钢多次出现磅差，项目拒绝使用</v>
      </c>
      <c r="O3866" s="62" t="str">
        <f ca="1" t="shared" si="202"/>
        <v/>
      </c>
      <c r="P3866" s="62" t="str">
        <f ca="1" t="shared" si="203"/>
        <v/>
      </c>
      <c r="Q3866" s="29" t="str">
        <f>VLOOKUP(B3866,辅助信息!E:M,9,FALSE)</f>
        <v>ZTWM-CDGS-XS-2024-0030-华西集采-简州大道</v>
      </c>
      <c r="R3866" s="29" t="str">
        <f>_xlfn._xlws.FILTER(辅助信息!D:D,辅助信息!E:E=B3866)</f>
        <v>华西简阳西城嘉苑</v>
      </c>
    </row>
    <row r="3867" hidden="1" spans="2:18">
      <c r="B3867" s="120" t="s">
        <v>81</v>
      </c>
      <c r="C3867" s="70">
        <v>45926</v>
      </c>
      <c r="D3867" s="120" t="str">
        <f>VLOOKUP(B3867,辅助信息!E:K,7,FALSE)</f>
        <v>JWDDCD2025060900080</v>
      </c>
      <c r="E3867" s="120" t="str">
        <f>VLOOKUP(F3867,辅助信息!A:B,2,FALSE)</f>
        <v>盘螺</v>
      </c>
      <c r="F3867" s="120" t="s">
        <v>41</v>
      </c>
      <c r="G3867" s="121">
        <v>125</v>
      </c>
      <c r="H3867" s="134"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0" t="str">
        <f>VLOOKUP(B3867,辅助信息!E:I,3,FALSE)</f>
        <v>（华西简阳西城嘉苑）四川省成都市简阳市简城街道高屋村</v>
      </c>
      <c r="J3867" s="120" t="str">
        <f>VLOOKUP(B3867,辅助信息!E:I,4,FALSE)</f>
        <v>张瀚镭</v>
      </c>
      <c r="K3867" s="120">
        <f>VLOOKUP(J3867,辅助信息!H:I,2,FALSE)</f>
        <v>15884666220</v>
      </c>
      <c r="L3867" s="122" t="str">
        <f>VLOOKUP(B3867,辅助信息!E:J,6,FALSE)</f>
        <v>现场禁止使用氢能源挂车！优先威钢发货,我方卸车,新老国标钢厂不加价可直发，因陕钢多次出现磅差，项目拒绝使用</v>
      </c>
      <c r="O3867" s="62" t="str">
        <f ca="1" t="shared" si="202"/>
        <v/>
      </c>
      <c r="P3867" s="62" t="str">
        <f ca="1" t="shared" si="203"/>
        <v/>
      </c>
      <c r="Q3867" s="29" t="str">
        <f>VLOOKUP(B3867,辅助信息!E:M,9,FALSE)</f>
        <v>ZTWM-CDGS-XS-2024-0030-华西集采-简州大道</v>
      </c>
      <c r="R3867" s="29" t="str">
        <f>_xlfn._xlws.FILTER(辅助信息!D:D,辅助信息!E:E=B3867)</f>
        <v>华西简阳西城嘉苑</v>
      </c>
    </row>
    <row r="3868" hidden="1" spans="2:18">
      <c r="B3868" s="120" t="s">
        <v>81</v>
      </c>
      <c r="C3868" s="70">
        <v>45926</v>
      </c>
      <c r="D3868" s="120" t="str">
        <f>VLOOKUP(B3868,辅助信息!E:K,7,FALSE)</f>
        <v>JWDDCD2025060900080</v>
      </c>
      <c r="E3868" s="120" t="str">
        <f>VLOOKUP(F3868,辅助信息!A:B,2,FALSE)</f>
        <v>盘螺</v>
      </c>
      <c r="F3868" s="120" t="s">
        <v>26</v>
      </c>
      <c r="G3868" s="121">
        <v>45</v>
      </c>
      <c r="H3868" s="134"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0" t="str">
        <f>VLOOKUP(B3868,辅助信息!E:I,3,FALSE)</f>
        <v>（华西简阳西城嘉苑）四川省成都市简阳市简城街道高屋村</v>
      </c>
      <c r="J3868" s="120" t="str">
        <f>VLOOKUP(B3868,辅助信息!E:I,4,FALSE)</f>
        <v>张瀚镭</v>
      </c>
      <c r="K3868" s="120">
        <f>VLOOKUP(J3868,辅助信息!H:I,2,FALSE)</f>
        <v>15884666220</v>
      </c>
      <c r="L3868" s="122" t="str">
        <f>VLOOKUP(B3868,辅助信息!E:J,6,FALSE)</f>
        <v>现场禁止使用氢能源挂车！优先威钢发货,我方卸车,新老国标钢厂不加价可直发，因陕钢多次出现磅差，项目拒绝使用</v>
      </c>
      <c r="O3868" s="62" t="str">
        <f ca="1" t="shared" si="202"/>
        <v/>
      </c>
      <c r="P3868" s="62" t="str">
        <f ca="1" t="shared" si="203"/>
        <v/>
      </c>
      <c r="Q3868" s="29" t="str">
        <f>VLOOKUP(B3868,辅助信息!E:M,9,FALSE)</f>
        <v>ZTWM-CDGS-XS-2024-0030-华西集采-简州大道</v>
      </c>
      <c r="R3868" s="29" t="str">
        <f>_xlfn._xlws.FILTER(辅助信息!D:D,辅助信息!E:E=B3868)</f>
        <v>华西简阳西城嘉苑</v>
      </c>
    </row>
    <row r="3869" hidden="1" spans="2:18">
      <c r="B3869" s="120" t="s">
        <v>81</v>
      </c>
      <c r="C3869" s="70">
        <v>45926</v>
      </c>
      <c r="D3869" s="120" t="str">
        <f>VLOOKUP(B3869,辅助信息!E:K,7,FALSE)</f>
        <v>JWDDCD2025060900080</v>
      </c>
      <c r="E3869" s="120" t="str">
        <f>VLOOKUP(F3869,辅助信息!A:B,2,FALSE)</f>
        <v>盘螺</v>
      </c>
      <c r="F3869" s="120" t="s">
        <v>49</v>
      </c>
      <c r="G3869" s="121">
        <v>25</v>
      </c>
      <c r="H3869" s="134"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0" t="str">
        <f>VLOOKUP(B3869,辅助信息!E:I,3,FALSE)</f>
        <v>（华西简阳西城嘉苑）四川省成都市简阳市简城街道高屋村</v>
      </c>
      <c r="J3869" s="120" t="str">
        <f>VLOOKUP(B3869,辅助信息!E:I,4,FALSE)</f>
        <v>张瀚镭</v>
      </c>
      <c r="K3869" s="120">
        <f>VLOOKUP(J3869,辅助信息!H:I,2,FALSE)</f>
        <v>15884666220</v>
      </c>
      <c r="L3869" s="122" t="str">
        <f>VLOOKUP(B3869,辅助信息!E:J,6,FALSE)</f>
        <v>现场禁止使用氢能源挂车！优先威钢发货,我方卸车,新老国标钢厂不加价可直发，因陕钢多次出现磅差，项目拒绝使用</v>
      </c>
      <c r="O3869" s="62" t="str">
        <f ca="1" t="shared" si="202"/>
        <v/>
      </c>
      <c r="P3869" s="62" t="str">
        <f ca="1" t="shared" si="203"/>
        <v/>
      </c>
      <c r="Q3869" s="29" t="str">
        <f>VLOOKUP(B3869,辅助信息!E:M,9,FALSE)</f>
        <v>ZTWM-CDGS-XS-2024-0030-华西集采-简州大道</v>
      </c>
      <c r="R3869" s="29" t="str">
        <f>_xlfn._xlws.FILTER(辅助信息!D:D,辅助信息!E:E=B3869)</f>
        <v>华西简阳西城嘉苑</v>
      </c>
    </row>
    <row r="3870" hidden="1" spans="2:18">
      <c r="B3870" s="120" t="s">
        <v>81</v>
      </c>
      <c r="C3870" s="70">
        <v>45926</v>
      </c>
      <c r="D3870" s="120" t="str">
        <f>VLOOKUP(B3870,辅助信息!E:K,7,FALSE)</f>
        <v>JWDDCD2025060900080</v>
      </c>
      <c r="E3870" s="120" t="str">
        <f>VLOOKUP(F3870,辅助信息!A:B,2,FALSE)</f>
        <v>盘螺</v>
      </c>
      <c r="F3870" s="120" t="s">
        <v>40</v>
      </c>
      <c r="G3870" s="121">
        <v>80</v>
      </c>
      <c r="H3870" s="134"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0" t="str">
        <f>VLOOKUP(B3870,辅助信息!E:I,3,FALSE)</f>
        <v>（华西简阳西城嘉苑）四川省成都市简阳市简城街道高屋村</v>
      </c>
      <c r="J3870" s="120" t="str">
        <f>VLOOKUP(B3870,辅助信息!E:I,4,FALSE)</f>
        <v>张瀚镭</v>
      </c>
      <c r="K3870" s="120">
        <f>VLOOKUP(J3870,辅助信息!H:I,2,FALSE)</f>
        <v>15884666220</v>
      </c>
      <c r="L3870" s="122" t="str">
        <f>VLOOKUP(B3870,辅助信息!E:J,6,FALSE)</f>
        <v>现场禁止使用氢能源挂车！优先威钢发货,我方卸车,新老国标钢厂不加价可直发，因陕钢多次出现磅差，项目拒绝使用</v>
      </c>
      <c r="O3870" s="62" t="str">
        <f ca="1" t="shared" si="202"/>
        <v/>
      </c>
      <c r="P3870" s="62" t="str">
        <f ca="1" t="shared" si="203"/>
        <v/>
      </c>
      <c r="Q3870" s="29" t="str">
        <f>VLOOKUP(B3870,辅助信息!E:M,9,FALSE)</f>
        <v>ZTWM-CDGS-XS-2024-0030-华西集采-简州大道</v>
      </c>
      <c r="R3870" s="29" t="str">
        <f>_xlfn._xlws.FILTER(辅助信息!D:D,辅助信息!E:E=B3870)</f>
        <v>华西简阳西城嘉苑</v>
      </c>
    </row>
    <row r="3871" hidden="1" spans="2:18">
      <c r="B3871" s="120" t="s">
        <v>186</v>
      </c>
      <c r="C3871" s="70">
        <v>45926</v>
      </c>
      <c r="D3871" s="120" t="str">
        <f>VLOOKUP(B3871,辅助信息!E:K,7,FALSE)</f>
        <v>JWDDCD2025072900123</v>
      </c>
      <c r="E3871" s="120" t="str">
        <f>VLOOKUP(F3871,辅助信息!A:B,2,FALSE)</f>
        <v>螺纹钢</v>
      </c>
      <c r="F3871" s="120" t="s">
        <v>111</v>
      </c>
      <c r="G3871" s="121">
        <v>35</v>
      </c>
      <c r="H3871" s="134"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0" t="str">
        <f>VLOOKUP(B3871,辅助信息!E:I,3,FALSE)</f>
        <v>(乐山市校地共建产教融合基地建设项目二标段)四川省乐山市市中区苏稽镇</v>
      </c>
      <c r="J3871" s="120" t="str">
        <f>VLOOKUP(B3871,辅助信息!E:I,4,FALSE)</f>
        <v>彭江涛</v>
      </c>
      <c r="K3871" s="120">
        <f>VLOOKUP(J3871,辅助信息!H:I,2,FALSE)</f>
        <v>13990276572</v>
      </c>
      <c r="L3871" s="122" t="str">
        <f>VLOOKUP(B3871,辅助信息!E:J,6,FALSE)</f>
        <v>联系实际收货人（彭江涛13990276572）现场要求炉批号控制2个以下，超2个不给予签收。提前联系到场规格及数量</v>
      </c>
      <c r="O3871" s="62" t="str">
        <f ca="1" t="shared" si="202"/>
        <v/>
      </c>
      <c r="P3871" s="62"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0" t="s">
        <v>186</v>
      </c>
      <c r="C3872" s="70">
        <v>45926</v>
      </c>
      <c r="D3872" s="120" t="str">
        <f>VLOOKUP(B3872,辅助信息!E:K,7,FALSE)</f>
        <v>JWDDCD2025072900123</v>
      </c>
      <c r="E3872" s="120" t="str">
        <f>VLOOKUP(F3872,辅助信息!A:B,2,FALSE)</f>
        <v>螺纹钢</v>
      </c>
      <c r="F3872" s="120" t="s">
        <v>76</v>
      </c>
      <c r="G3872" s="121">
        <v>35</v>
      </c>
      <c r="H3872" s="134"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0" t="str">
        <f>VLOOKUP(B3872,辅助信息!E:I,3,FALSE)</f>
        <v>(乐山市校地共建产教融合基地建设项目二标段)四川省乐山市市中区苏稽镇</v>
      </c>
      <c r="J3872" s="120" t="str">
        <f>VLOOKUP(B3872,辅助信息!E:I,4,FALSE)</f>
        <v>彭江涛</v>
      </c>
      <c r="K3872" s="120">
        <f>VLOOKUP(J3872,辅助信息!H:I,2,FALSE)</f>
        <v>13990276572</v>
      </c>
      <c r="L3872" s="122" t="str">
        <f>VLOOKUP(B3872,辅助信息!E:J,6,FALSE)</f>
        <v>联系实际收货人（彭江涛13990276572）现场要求炉批号控制2个以下，超2个不给予签收。提前联系到场规格及数量</v>
      </c>
      <c r="O3872" s="62" t="str">
        <f ca="1" t="shared" ref="O3872:O3935" si="204">IF(OR(M3872="",N3872&lt;&gt;""),"",MAX(M3872-TODAY(),0))</f>
        <v/>
      </c>
      <c r="P3872" s="62"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0" t="s">
        <v>186</v>
      </c>
      <c r="C3873" s="70">
        <v>45926</v>
      </c>
      <c r="D3873" s="120" t="str">
        <f>VLOOKUP(B3873,辅助信息!E:K,7,FALSE)</f>
        <v>JWDDCD2025072900123</v>
      </c>
      <c r="E3873" s="120" t="str">
        <f>VLOOKUP(F3873,辅助信息!A:B,2,FALSE)</f>
        <v>螺纹钢</v>
      </c>
      <c r="F3873" s="120" t="s">
        <v>197</v>
      </c>
      <c r="G3873" s="121">
        <v>18</v>
      </c>
      <c r="H3873" s="134"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0" t="str">
        <f>VLOOKUP(B3873,辅助信息!E:I,3,FALSE)</f>
        <v>(乐山市校地共建产教融合基地建设项目二标段)四川省乐山市市中区苏稽镇</v>
      </c>
      <c r="J3873" s="120" t="str">
        <f>VLOOKUP(B3873,辅助信息!E:I,4,FALSE)</f>
        <v>彭江涛</v>
      </c>
      <c r="K3873" s="120">
        <f>VLOOKUP(J3873,辅助信息!H:I,2,FALSE)</f>
        <v>13990276572</v>
      </c>
      <c r="L3873" s="122" t="str">
        <f>VLOOKUP(B3873,辅助信息!E:J,6,FALSE)</f>
        <v>联系实际收货人（彭江涛13990276572）现场要求炉批号控制2个以下，超2个不给予签收。提前联系到场规格及数量</v>
      </c>
      <c r="O3873" s="62" t="str">
        <f ca="1" t="shared" si="204"/>
        <v/>
      </c>
      <c r="P3873" s="62"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0" t="s">
        <v>186</v>
      </c>
      <c r="C3874" s="70">
        <v>45926</v>
      </c>
      <c r="D3874" s="120" t="str">
        <f>VLOOKUP(B3874,辅助信息!E:K,7,FALSE)</f>
        <v>JWDDCD2025072900123</v>
      </c>
      <c r="E3874" s="120" t="str">
        <f>VLOOKUP(F3874,辅助信息!A:B,2,FALSE)</f>
        <v>螺纹钢</v>
      </c>
      <c r="F3874" s="120" t="s">
        <v>198</v>
      </c>
      <c r="G3874" s="121">
        <v>18</v>
      </c>
      <c r="H3874" s="134"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0" t="str">
        <f>VLOOKUP(B3874,辅助信息!E:I,3,FALSE)</f>
        <v>(乐山市校地共建产教融合基地建设项目二标段)四川省乐山市市中区苏稽镇</v>
      </c>
      <c r="J3874" s="120" t="str">
        <f>VLOOKUP(B3874,辅助信息!E:I,4,FALSE)</f>
        <v>彭江涛</v>
      </c>
      <c r="K3874" s="120">
        <f>VLOOKUP(J3874,辅助信息!H:I,2,FALSE)</f>
        <v>13990276572</v>
      </c>
      <c r="L3874" s="122" t="str">
        <f>VLOOKUP(B3874,辅助信息!E:J,6,FALSE)</f>
        <v>联系实际收货人（彭江涛13990276572）现场要求炉批号控制2个以下，超2个不给予签收。提前联系到场规格及数量</v>
      </c>
      <c r="O3874" s="62" t="str">
        <f ca="1" t="shared" si="204"/>
        <v/>
      </c>
      <c r="P3874" s="62"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0" t="s">
        <v>186</v>
      </c>
      <c r="C3875" s="70">
        <v>45926</v>
      </c>
      <c r="D3875" s="120" t="str">
        <f>VLOOKUP(B3875,辅助信息!E:K,7,FALSE)</f>
        <v>JWDDCD2025072900123</v>
      </c>
      <c r="E3875" s="120" t="str">
        <f>VLOOKUP(F3875,辅助信息!A:B,2,FALSE)</f>
        <v>螺纹钢</v>
      </c>
      <c r="F3875" s="120" t="s">
        <v>199</v>
      </c>
      <c r="G3875" s="121">
        <v>18</v>
      </c>
      <c r="H3875" s="134"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0" t="str">
        <f>VLOOKUP(B3875,辅助信息!E:I,3,FALSE)</f>
        <v>(乐山市校地共建产教融合基地建设项目二标段)四川省乐山市市中区苏稽镇</v>
      </c>
      <c r="J3875" s="120" t="str">
        <f>VLOOKUP(B3875,辅助信息!E:I,4,FALSE)</f>
        <v>彭江涛</v>
      </c>
      <c r="K3875" s="120">
        <f>VLOOKUP(J3875,辅助信息!H:I,2,FALSE)</f>
        <v>13990276572</v>
      </c>
      <c r="L3875" s="122" t="str">
        <f>VLOOKUP(B3875,辅助信息!E:J,6,FALSE)</f>
        <v>联系实际收货人（彭江涛13990276572）现场要求炉批号控制2个以下，超2个不给予签收。提前联系到场规格及数量</v>
      </c>
      <c r="O3875" s="62" t="str">
        <f ca="1" t="shared" si="204"/>
        <v/>
      </c>
      <c r="P3875" s="62"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0" t="s">
        <v>186</v>
      </c>
      <c r="C3876" s="70">
        <v>45926</v>
      </c>
      <c r="D3876" s="120" t="str">
        <f>VLOOKUP(B3876,辅助信息!E:K,7,FALSE)</f>
        <v>JWDDCD2025072900123</v>
      </c>
      <c r="E3876" s="120" t="str">
        <f>VLOOKUP(F3876,辅助信息!A:B,2,FALSE)</f>
        <v>螺纹钢</v>
      </c>
      <c r="F3876" s="120" t="s">
        <v>141</v>
      </c>
      <c r="G3876" s="121">
        <v>8</v>
      </c>
      <c r="H3876" s="134"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0" t="str">
        <f>VLOOKUP(B3876,辅助信息!E:I,3,FALSE)</f>
        <v>(乐山市校地共建产教融合基地建设项目二标段)四川省乐山市市中区苏稽镇</v>
      </c>
      <c r="J3876" s="120" t="str">
        <f>VLOOKUP(B3876,辅助信息!E:I,4,FALSE)</f>
        <v>彭江涛</v>
      </c>
      <c r="K3876" s="120">
        <f>VLOOKUP(J3876,辅助信息!H:I,2,FALSE)</f>
        <v>13990276572</v>
      </c>
      <c r="L3876" s="122" t="str">
        <f>VLOOKUP(B3876,辅助信息!E:J,6,FALSE)</f>
        <v>联系实际收货人（彭江涛13990276572）现场要求炉批号控制2个以下，超2个不给予签收。提前联系到场规格及数量</v>
      </c>
      <c r="O3876" s="62" t="str">
        <f ca="1" t="shared" si="204"/>
        <v/>
      </c>
      <c r="P3876" s="62"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1" t="s">
        <v>186</v>
      </c>
      <c r="C3877" s="70">
        <v>45927</v>
      </c>
      <c r="D3877" s="120" t="str">
        <f>VLOOKUP(B3877,辅助信息!E:K,7,FALSE)</f>
        <v>JWDDCD2025072900123</v>
      </c>
      <c r="E3877" s="120" t="str">
        <f>VLOOKUP(F3877,辅助信息!A:B,2,FALSE)</f>
        <v>螺纹钢</v>
      </c>
      <c r="F3877" s="120" t="s">
        <v>22</v>
      </c>
      <c r="G3877" s="121">
        <v>35</v>
      </c>
      <c r="H3877" s="134"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0" t="str">
        <f>VLOOKUP(B3877,辅助信息!E:I,3,FALSE)</f>
        <v>(乐山市校地共建产教融合基地建设项目二标段)四川省乐山市市中区苏稽镇</v>
      </c>
      <c r="J3877" s="120" t="str">
        <f>VLOOKUP(B3877,辅助信息!E:I,4,FALSE)</f>
        <v>彭江涛</v>
      </c>
      <c r="K3877" s="120">
        <f>VLOOKUP(J3877,辅助信息!H:I,2,FALSE)</f>
        <v>13990276572</v>
      </c>
      <c r="L3877" s="122" t="str">
        <f>VLOOKUP(B3877,辅助信息!E:J,6,FALSE)</f>
        <v>联系实际收货人（彭江涛13990276572）现场要求炉批号控制2个以下，超2个不给予签收。提前联系到场规格及数量</v>
      </c>
      <c r="O3877" s="62" t="str">
        <f ca="1" t="shared" si="204"/>
        <v/>
      </c>
      <c r="P3877" s="62"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1" t="s">
        <v>186</v>
      </c>
      <c r="C3878" s="70">
        <v>45927</v>
      </c>
      <c r="D3878" s="120" t="str">
        <f>VLOOKUP(B3878,辅助信息!E:K,7,FALSE)</f>
        <v>JWDDCD2025072900123</v>
      </c>
      <c r="E3878" s="120" t="str">
        <f>VLOOKUP(F3878,辅助信息!A:B,2,FALSE)</f>
        <v>螺纹钢</v>
      </c>
      <c r="F3878" s="120" t="s">
        <v>142</v>
      </c>
      <c r="G3878" s="121">
        <v>35</v>
      </c>
      <c r="H3878" s="134"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0" t="str">
        <f>VLOOKUP(B3878,辅助信息!E:I,3,FALSE)</f>
        <v>(乐山市校地共建产教融合基地建设项目二标段)四川省乐山市市中区苏稽镇</v>
      </c>
      <c r="J3878" s="120" t="str">
        <f>VLOOKUP(B3878,辅助信息!E:I,4,FALSE)</f>
        <v>彭江涛</v>
      </c>
      <c r="K3878" s="120">
        <f>VLOOKUP(J3878,辅助信息!H:I,2,FALSE)</f>
        <v>13990276572</v>
      </c>
      <c r="L3878" s="122" t="str">
        <f>VLOOKUP(B3878,辅助信息!E:J,6,FALSE)</f>
        <v>联系实际收货人（彭江涛13990276572）现场要求炉批号控制2个以下，超2个不给予签收。提前联系到场规格及数量</v>
      </c>
      <c r="M3878" s="148">
        <v>45929</v>
      </c>
      <c r="O3878" s="62">
        <f ca="1" t="shared" si="204"/>
        <v>0</v>
      </c>
      <c r="P3878" s="62">
        <f ca="1" t="shared" si="205"/>
        <v>31</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1" t="s">
        <v>186</v>
      </c>
      <c r="C3879" s="70">
        <v>45927</v>
      </c>
      <c r="D3879" s="120" t="str">
        <f>VLOOKUP(B3879,辅助信息!E:K,7,FALSE)</f>
        <v>JWDDCD2025072900123</v>
      </c>
      <c r="E3879" s="120" t="str">
        <f>VLOOKUP(F3879,辅助信息!A:B,2,FALSE)</f>
        <v>螺纹钢</v>
      </c>
      <c r="F3879" s="120" t="s">
        <v>181</v>
      </c>
      <c r="G3879" s="121">
        <v>5</v>
      </c>
      <c r="H3879" s="134"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0" t="str">
        <f>VLOOKUP(B3879,辅助信息!E:I,3,FALSE)</f>
        <v>(乐山市校地共建产教融合基地建设项目二标段)四川省乐山市市中区苏稽镇</v>
      </c>
      <c r="J3879" s="120" t="str">
        <f>VLOOKUP(B3879,辅助信息!E:I,4,FALSE)</f>
        <v>彭江涛</v>
      </c>
      <c r="K3879" s="120">
        <f>VLOOKUP(J3879,辅助信息!H:I,2,FALSE)</f>
        <v>13990276572</v>
      </c>
      <c r="L3879" s="122" t="str">
        <f>VLOOKUP(B3879,辅助信息!E:J,6,FALSE)</f>
        <v>联系实际收货人（彭江涛13990276572）现场要求炉批号控制2个以下，超2个不给予签收。提前联系到场规格及数量</v>
      </c>
      <c r="M3879" s="148">
        <v>45929</v>
      </c>
      <c r="O3879" s="62">
        <f ca="1" t="shared" si="204"/>
        <v>0</v>
      </c>
      <c r="P3879" s="62">
        <f ca="1" t="shared" si="205"/>
        <v>31</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1" t="s">
        <v>186</v>
      </c>
      <c r="C3880" s="70">
        <v>45927</v>
      </c>
      <c r="D3880" s="120" t="str">
        <f>VLOOKUP(B3880,辅助信息!E:K,7,FALSE)</f>
        <v>JWDDCD2025072900123</v>
      </c>
      <c r="E3880" s="120" t="str">
        <f>VLOOKUP(F3880,辅助信息!A:B,2,FALSE)</f>
        <v>螺纹钢</v>
      </c>
      <c r="F3880" s="120" t="s">
        <v>200</v>
      </c>
      <c r="G3880" s="121">
        <v>10</v>
      </c>
      <c r="H3880" s="134"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0" t="str">
        <f>VLOOKUP(B3880,辅助信息!E:I,3,FALSE)</f>
        <v>(乐山市校地共建产教融合基地建设项目二标段)四川省乐山市市中区苏稽镇</v>
      </c>
      <c r="J3880" s="120" t="str">
        <f>VLOOKUP(B3880,辅助信息!E:I,4,FALSE)</f>
        <v>彭江涛</v>
      </c>
      <c r="K3880" s="120">
        <f>VLOOKUP(J3880,辅助信息!H:I,2,FALSE)</f>
        <v>13990276572</v>
      </c>
      <c r="L3880" s="122" t="str">
        <f>VLOOKUP(B3880,辅助信息!E:J,6,FALSE)</f>
        <v>联系实际收货人（彭江涛13990276572）现场要求炉批号控制2个以下，超2个不给予签收。提前联系到场规格及数量</v>
      </c>
      <c r="M3880" s="148">
        <v>45929</v>
      </c>
      <c r="O3880" s="62">
        <f ca="1" t="shared" si="204"/>
        <v>0</v>
      </c>
      <c r="P3880" s="62">
        <f ca="1" t="shared" si="205"/>
        <v>31</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6" t="s">
        <v>81</v>
      </c>
      <c r="C3881" s="70">
        <v>45928</v>
      </c>
      <c r="D3881" s="120" t="str">
        <f>VLOOKUP(B3881,辅助信息!E:K,7,FALSE)</f>
        <v>JWDDCD2025060900080</v>
      </c>
      <c r="E3881" s="120" t="str">
        <f>VLOOKUP(F3881,辅助信息!A:B,2,FALSE)</f>
        <v>螺纹钢</v>
      </c>
      <c r="F3881" s="120" t="s">
        <v>19</v>
      </c>
      <c r="G3881" s="121">
        <v>30</v>
      </c>
      <c r="H3881" s="134"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0" t="str">
        <f>VLOOKUP(B3881,辅助信息!E:I,3,FALSE)</f>
        <v>（华西简阳西城嘉苑）四川省成都市简阳市简城街道高屋村</v>
      </c>
      <c r="J3881" s="120" t="str">
        <f>VLOOKUP(B3881,辅助信息!E:I,4,FALSE)</f>
        <v>张瀚镭</v>
      </c>
      <c r="K3881" s="120">
        <f>VLOOKUP(J3881,辅助信息!H:I,2,FALSE)</f>
        <v>15884666220</v>
      </c>
      <c r="L3881" s="122" t="str">
        <f>VLOOKUP(B3881,辅助信息!E:J,6,FALSE)</f>
        <v>现场禁止使用氢能源挂车！优先威钢发货,我方卸车,新老国标钢厂不加价可直发，因陕钢多次出现磅差，项目拒绝使用</v>
      </c>
      <c r="M3881" s="148">
        <v>45929</v>
      </c>
      <c r="O3881" s="62">
        <f ca="1" t="shared" si="204"/>
        <v>0</v>
      </c>
      <c r="P3881" s="62">
        <f ca="1" t="shared" si="205"/>
        <v>31</v>
      </c>
      <c r="Q3881" s="29" t="str">
        <f>VLOOKUP(B3881,辅助信息!E:M,9,FALSE)</f>
        <v>ZTWM-CDGS-XS-2024-0030-华西集采-简州大道</v>
      </c>
      <c r="R3881" s="29" t="str">
        <f>_xlfn._xlws.FILTER(辅助信息!D:D,辅助信息!E:E=B3881)</f>
        <v>华西简阳西城嘉苑</v>
      </c>
    </row>
    <row r="3882" hidden="1" spans="2:18">
      <c r="B3882" s="136" t="s">
        <v>81</v>
      </c>
      <c r="C3882" s="70">
        <v>45928</v>
      </c>
      <c r="D3882" s="120" t="str">
        <f>VLOOKUP(B3882,辅助信息!E:K,7,FALSE)</f>
        <v>JWDDCD2025060900080</v>
      </c>
      <c r="E3882" s="120" t="str">
        <f>VLOOKUP(F3882,辅助信息!A:B,2,FALSE)</f>
        <v>螺纹钢</v>
      </c>
      <c r="F3882" s="120" t="s">
        <v>32</v>
      </c>
      <c r="G3882" s="121">
        <v>50</v>
      </c>
      <c r="H3882" s="134"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0" t="str">
        <f>VLOOKUP(B3882,辅助信息!E:I,3,FALSE)</f>
        <v>（华西简阳西城嘉苑）四川省成都市简阳市简城街道高屋村</v>
      </c>
      <c r="J3882" s="120" t="str">
        <f>VLOOKUP(B3882,辅助信息!E:I,4,FALSE)</f>
        <v>张瀚镭</v>
      </c>
      <c r="K3882" s="120">
        <f>VLOOKUP(J3882,辅助信息!H:I,2,FALSE)</f>
        <v>15884666220</v>
      </c>
      <c r="L3882" s="122" t="str">
        <f>VLOOKUP(B3882,辅助信息!E:J,6,FALSE)</f>
        <v>现场禁止使用氢能源挂车！优先威钢发货,我方卸车,新老国标钢厂不加价可直发，因陕钢多次出现磅差，项目拒绝使用</v>
      </c>
      <c r="M3882" s="148">
        <v>45929</v>
      </c>
      <c r="O3882" s="62">
        <f ca="1" t="shared" si="204"/>
        <v>0</v>
      </c>
      <c r="P3882" s="62">
        <f ca="1" t="shared" si="205"/>
        <v>31</v>
      </c>
      <c r="Q3882" s="29" t="str">
        <f>VLOOKUP(B3882,辅助信息!E:M,9,FALSE)</f>
        <v>ZTWM-CDGS-XS-2024-0030-华西集采-简州大道</v>
      </c>
      <c r="R3882" s="29" t="str">
        <f>_xlfn._xlws.FILTER(辅助信息!D:D,辅助信息!E:E=B3882)</f>
        <v>华西简阳西城嘉苑</v>
      </c>
    </row>
    <row r="3883" hidden="1" spans="2:18">
      <c r="B3883" s="136" t="s">
        <v>81</v>
      </c>
      <c r="C3883" s="70">
        <v>45928</v>
      </c>
      <c r="D3883" s="120" t="str">
        <f>VLOOKUP(B3883,辅助信息!E:K,7,FALSE)</f>
        <v>JWDDCD2025060900080</v>
      </c>
      <c r="E3883" s="120" t="str">
        <f>VLOOKUP(F3883,辅助信息!A:B,2,FALSE)</f>
        <v>螺纹钢</v>
      </c>
      <c r="F3883" s="120" t="s">
        <v>30</v>
      </c>
      <c r="G3883" s="121">
        <v>18</v>
      </c>
      <c r="H3883" s="134"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0" t="str">
        <f>VLOOKUP(B3883,辅助信息!E:I,3,FALSE)</f>
        <v>（华西简阳西城嘉苑）四川省成都市简阳市简城街道高屋村</v>
      </c>
      <c r="J3883" s="120" t="str">
        <f>VLOOKUP(B3883,辅助信息!E:I,4,FALSE)</f>
        <v>张瀚镭</v>
      </c>
      <c r="K3883" s="120">
        <f>VLOOKUP(J3883,辅助信息!H:I,2,FALSE)</f>
        <v>15884666220</v>
      </c>
      <c r="L3883" s="122" t="str">
        <f>VLOOKUP(B3883,辅助信息!E:J,6,FALSE)</f>
        <v>现场禁止使用氢能源挂车！优先威钢发货,我方卸车,新老国标钢厂不加价可直发，因陕钢多次出现磅差，项目拒绝使用</v>
      </c>
      <c r="M3883" s="148">
        <v>45929</v>
      </c>
      <c r="O3883" s="62">
        <f ca="1" t="shared" si="204"/>
        <v>0</v>
      </c>
      <c r="P3883" s="62">
        <f ca="1" t="shared" si="205"/>
        <v>31</v>
      </c>
      <c r="Q3883" s="29" t="str">
        <f>VLOOKUP(B3883,辅助信息!E:M,9,FALSE)</f>
        <v>ZTWM-CDGS-XS-2024-0030-华西集采-简州大道</v>
      </c>
      <c r="R3883" s="29" t="str">
        <f>_xlfn._xlws.FILTER(辅助信息!D:D,辅助信息!E:E=B3883)</f>
        <v>华西简阳西城嘉苑</v>
      </c>
    </row>
    <row r="3884" hidden="1" spans="2:18">
      <c r="B3884" s="136" t="s">
        <v>81</v>
      </c>
      <c r="C3884" s="70">
        <v>45928</v>
      </c>
      <c r="D3884" s="120" t="str">
        <f>VLOOKUP(B3884,辅助信息!E:K,7,FALSE)</f>
        <v>JWDDCD2025060900080</v>
      </c>
      <c r="E3884" s="120" t="str">
        <f>VLOOKUP(F3884,辅助信息!A:B,2,FALSE)</f>
        <v>螺纹钢</v>
      </c>
      <c r="F3884" s="120" t="s">
        <v>33</v>
      </c>
      <c r="G3884" s="121">
        <v>18</v>
      </c>
      <c r="H3884" s="134"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0" t="str">
        <f>VLOOKUP(B3884,辅助信息!E:I,3,FALSE)</f>
        <v>（华西简阳西城嘉苑）四川省成都市简阳市简城街道高屋村</v>
      </c>
      <c r="J3884" s="120" t="str">
        <f>VLOOKUP(B3884,辅助信息!E:I,4,FALSE)</f>
        <v>张瀚镭</v>
      </c>
      <c r="K3884" s="120">
        <f>VLOOKUP(J3884,辅助信息!H:I,2,FALSE)</f>
        <v>15884666220</v>
      </c>
      <c r="L3884" s="122" t="str">
        <f>VLOOKUP(B3884,辅助信息!E:J,6,FALSE)</f>
        <v>现场禁止使用氢能源挂车！优先威钢发货,我方卸车,新老国标钢厂不加价可直发，因陕钢多次出现磅差，项目拒绝使用</v>
      </c>
      <c r="M3884" s="148">
        <v>45929</v>
      </c>
      <c r="O3884" s="62">
        <f ca="1" t="shared" si="204"/>
        <v>0</v>
      </c>
      <c r="P3884" s="62">
        <f ca="1" t="shared" si="205"/>
        <v>31</v>
      </c>
      <c r="Q3884" s="29" t="str">
        <f>VLOOKUP(B3884,辅助信息!E:M,9,FALSE)</f>
        <v>ZTWM-CDGS-XS-2024-0030-华西集采-简州大道</v>
      </c>
      <c r="R3884" s="29" t="str">
        <f>_xlfn._xlws.FILTER(辅助信息!D:D,辅助信息!E:E=B3884)</f>
        <v>华西简阳西城嘉苑</v>
      </c>
    </row>
    <row r="3885" hidden="1" spans="2:18">
      <c r="B3885" s="136" t="s">
        <v>81</v>
      </c>
      <c r="C3885" s="70">
        <v>45928</v>
      </c>
      <c r="D3885" s="120" t="str">
        <f>VLOOKUP(B3885,辅助信息!E:K,7,FALSE)</f>
        <v>JWDDCD2025060900080</v>
      </c>
      <c r="E3885" s="120" t="str">
        <f>VLOOKUP(F3885,辅助信息!A:B,2,FALSE)</f>
        <v>螺纹钢</v>
      </c>
      <c r="F3885" s="120" t="s">
        <v>28</v>
      </c>
      <c r="G3885" s="121">
        <v>2.5</v>
      </c>
      <c r="H3885" s="134"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0" t="str">
        <f>VLOOKUP(B3885,辅助信息!E:I,3,FALSE)</f>
        <v>（华西简阳西城嘉苑）四川省成都市简阳市简城街道高屋村</v>
      </c>
      <c r="J3885" s="120" t="str">
        <f>VLOOKUP(B3885,辅助信息!E:I,4,FALSE)</f>
        <v>张瀚镭</v>
      </c>
      <c r="K3885" s="120">
        <f>VLOOKUP(J3885,辅助信息!H:I,2,FALSE)</f>
        <v>15884666220</v>
      </c>
      <c r="L3885" s="122" t="str">
        <f>VLOOKUP(B3885,辅助信息!E:J,6,FALSE)</f>
        <v>现场禁止使用氢能源挂车！优先威钢发货,我方卸车,新老国标钢厂不加价可直发，因陕钢多次出现磅差，项目拒绝使用</v>
      </c>
      <c r="M3885" s="148">
        <v>45929</v>
      </c>
      <c r="O3885" s="62">
        <f ca="1" t="shared" si="204"/>
        <v>0</v>
      </c>
      <c r="P3885" s="62">
        <f ca="1" t="shared" si="205"/>
        <v>31</v>
      </c>
      <c r="Q3885" s="29" t="str">
        <f>VLOOKUP(B3885,辅助信息!E:M,9,FALSE)</f>
        <v>ZTWM-CDGS-XS-2024-0030-华西集采-简州大道</v>
      </c>
      <c r="R3885" s="29" t="str">
        <f>_xlfn._xlws.FILTER(辅助信息!D:D,辅助信息!E:E=B3885)</f>
        <v>华西简阳西城嘉苑</v>
      </c>
    </row>
    <row r="3886" hidden="1" spans="2:18">
      <c r="B3886" s="120" t="s">
        <v>81</v>
      </c>
      <c r="C3886" s="70">
        <v>45928</v>
      </c>
      <c r="D3886" s="120" t="str">
        <f>VLOOKUP(B3886,辅助信息!E:K,7,FALSE)</f>
        <v>JWDDCD2025060900080</v>
      </c>
      <c r="E3886" s="120" t="str">
        <f>VLOOKUP(F3886,辅助信息!A:B,2,FALSE)</f>
        <v>螺纹钢</v>
      </c>
      <c r="F3886" s="120" t="s">
        <v>58</v>
      </c>
      <c r="G3886" s="121">
        <v>21</v>
      </c>
      <c r="H3886" s="134"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0" t="str">
        <f>VLOOKUP(B3886,辅助信息!E:I,3,FALSE)</f>
        <v>（华西简阳西城嘉苑）四川省成都市简阳市简城街道高屋村</v>
      </c>
      <c r="J3886" s="120" t="str">
        <f>VLOOKUP(B3886,辅助信息!E:I,4,FALSE)</f>
        <v>张瀚镭</v>
      </c>
      <c r="K3886" s="120">
        <f>VLOOKUP(J3886,辅助信息!H:I,2,FALSE)</f>
        <v>15884666220</v>
      </c>
      <c r="L3886" s="122" t="str">
        <f>VLOOKUP(B3886,辅助信息!E:J,6,FALSE)</f>
        <v>现场禁止使用氢能源挂车！优先威钢发货,我方卸车,新老国标钢厂不加价可直发，因陕钢多次出现磅差，项目拒绝使用</v>
      </c>
      <c r="O3886" s="62" t="str">
        <f ca="1" t="shared" si="204"/>
        <v/>
      </c>
      <c r="P3886" s="62" t="str">
        <f ca="1" t="shared" si="205"/>
        <v/>
      </c>
      <c r="Q3886" s="29" t="str">
        <f>VLOOKUP(B3886,辅助信息!E:M,9,FALSE)</f>
        <v>ZTWM-CDGS-XS-2024-0030-华西集采-简州大道</v>
      </c>
      <c r="R3886" s="29" t="str">
        <f>_xlfn._xlws.FILTER(辅助信息!D:D,辅助信息!E:E=B3886)</f>
        <v>华西简阳西城嘉苑</v>
      </c>
    </row>
    <row r="3887" hidden="1" spans="2:18">
      <c r="B3887" s="120" t="s">
        <v>81</v>
      </c>
      <c r="C3887" s="70">
        <v>45928</v>
      </c>
      <c r="D3887" s="120" t="str">
        <f>VLOOKUP(B3887,辅助信息!E:K,7,FALSE)</f>
        <v>JWDDCD2025060900080</v>
      </c>
      <c r="E3887" s="120" t="str">
        <f>VLOOKUP(F3887,辅助信息!A:B,2,FALSE)</f>
        <v>螺纹钢</v>
      </c>
      <c r="F3887" s="120" t="s">
        <v>46</v>
      </c>
      <c r="G3887" s="121">
        <v>8</v>
      </c>
      <c r="H3887" s="134"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0" t="str">
        <f>VLOOKUP(B3887,辅助信息!E:I,3,FALSE)</f>
        <v>（华西简阳西城嘉苑）四川省成都市简阳市简城街道高屋村</v>
      </c>
      <c r="J3887" s="120" t="str">
        <f>VLOOKUP(B3887,辅助信息!E:I,4,FALSE)</f>
        <v>张瀚镭</v>
      </c>
      <c r="K3887" s="120">
        <f>VLOOKUP(J3887,辅助信息!H:I,2,FALSE)</f>
        <v>15884666220</v>
      </c>
      <c r="L3887" s="122" t="str">
        <f>VLOOKUP(B3887,辅助信息!E:J,6,FALSE)</f>
        <v>现场禁止使用氢能源挂车！优先威钢发货,我方卸车,新老国标钢厂不加价可直发，因陕钢多次出现磅差，项目拒绝使用</v>
      </c>
      <c r="O3887" s="62" t="str">
        <f ca="1" t="shared" si="204"/>
        <v/>
      </c>
      <c r="P3887" s="62" t="str">
        <f ca="1" t="shared" si="205"/>
        <v/>
      </c>
      <c r="Q3887" s="29" t="str">
        <f>VLOOKUP(B3887,辅助信息!E:M,9,FALSE)</f>
        <v>ZTWM-CDGS-XS-2024-0030-华西集采-简州大道</v>
      </c>
      <c r="R3887" s="29" t="str">
        <f>_xlfn._xlws.FILTER(辅助信息!D:D,辅助信息!E:E=B3887)</f>
        <v>华西简阳西城嘉苑</v>
      </c>
    </row>
    <row r="3888" hidden="1" spans="2:18">
      <c r="B3888" s="120" t="s">
        <v>81</v>
      </c>
      <c r="C3888" s="70">
        <v>45928</v>
      </c>
      <c r="D3888" s="120" t="str">
        <f>VLOOKUP(B3888,辅助信息!E:K,7,FALSE)</f>
        <v>JWDDCD2025060900080</v>
      </c>
      <c r="E3888" s="120" t="str">
        <f>VLOOKUP(F3888,辅助信息!A:B,2,FALSE)</f>
        <v>螺纹钢</v>
      </c>
      <c r="F3888" s="120" t="s">
        <v>22</v>
      </c>
      <c r="G3888" s="121">
        <v>30</v>
      </c>
      <c r="H3888" s="134"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0" t="str">
        <f>VLOOKUP(B3888,辅助信息!E:I,3,FALSE)</f>
        <v>（华西简阳西城嘉苑）四川省成都市简阳市简城街道高屋村</v>
      </c>
      <c r="J3888" s="120" t="str">
        <f>VLOOKUP(B3888,辅助信息!E:I,4,FALSE)</f>
        <v>张瀚镭</v>
      </c>
      <c r="K3888" s="120">
        <f>VLOOKUP(J3888,辅助信息!H:I,2,FALSE)</f>
        <v>15884666220</v>
      </c>
      <c r="L3888" s="122" t="str">
        <f>VLOOKUP(B3888,辅助信息!E:J,6,FALSE)</f>
        <v>现场禁止使用氢能源挂车！优先威钢发货,我方卸车,新老国标钢厂不加价可直发，因陕钢多次出现磅差，项目拒绝使用</v>
      </c>
      <c r="O3888" s="62" t="str">
        <f ca="1" t="shared" si="204"/>
        <v/>
      </c>
      <c r="P3888" s="62"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0">
        <v>45928</v>
      </c>
      <c r="D3889" s="40" t="str">
        <f>VLOOKUP(B3889,辅助信息!E:K,7,FALSE)</f>
        <v>JWDDCD2025060900080</v>
      </c>
      <c r="E3889" s="40" t="str">
        <f>VLOOKUP(F3889,辅助信息!A:B,2,FALSE)</f>
        <v>盘螺</v>
      </c>
      <c r="F3889" s="40" t="s">
        <v>41</v>
      </c>
      <c r="G3889" s="36">
        <v>125</v>
      </c>
      <c r="H3889" s="134">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09" t="str">
        <f>VLOOKUP(B3889,辅助信息!E:J,6,FALSE)</f>
        <v>现场禁止使用氢能源挂车！优先威钢发货,我方卸车,新老国标钢厂不加价可直发，因陕钢多次出现磅差，项目拒绝使用</v>
      </c>
      <c r="O3889" s="62" t="str">
        <f ca="1" t="shared" si="204"/>
        <v/>
      </c>
      <c r="P3889" s="62"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0">
        <v>45928</v>
      </c>
      <c r="D3890" s="40" t="str">
        <f>VLOOKUP(B3890,辅助信息!E:K,7,FALSE)</f>
        <v>JWDDCD2025060900080</v>
      </c>
      <c r="E3890" s="40" t="str">
        <f>VLOOKUP(F3890,辅助信息!A:B,2,FALSE)</f>
        <v>盘螺</v>
      </c>
      <c r="F3890" s="40" t="s">
        <v>26</v>
      </c>
      <c r="G3890" s="36">
        <v>45</v>
      </c>
      <c r="H3890" s="134">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09" t="str">
        <f>VLOOKUP(B3890,辅助信息!E:J,6,FALSE)</f>
        <v>现场禁止使用氢能源挂车！优先威钢发货,我方卸车,新老国标钢厂不加价可直发，因陕钢多次出现磅差，项目拒绝使用</v>
      </c>
      <c r="O3890" s="62" t="str">
        <f ca="1" t="shared" si="204"/>
        <v/>
      </c>
      <c r="P3890" s="62"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0">
        <v>45928</v>
      </c>
      <c r="D3891" s="40" t="str">
        <f>VLOOKUP(B3891,辅助信息!E:K,7,FALSE)</f>
        <v>JWDDCD2025060900080</v>
      </c>
      <c r="E3891" s="40" t="str">
        <f>VLOOKUP(F3891,辅助信息!A:B,2,FALSE)</f>
        <v>盘螺</v>
      </c>
      <c r="F3891" s="40" t="s">
        <v>49</v>
      </c>
      <c r="G3891" s="36">
        <v>25</v>
      </c>
      <c r="H3891" s="134"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09" t="str">
        <f>VLOOKUP(B3891,辅助信息!E:J,6,FALSE)</f>
        <v>现场禁止使用氢能源挂车！优先威钢发货,我方卸车,新老国标钢厂不加价可直发，因陕钢多次出现磅差，项目拒绝使用</v>
      </c>
      <c r="O3891" s="62" t="str">
        <f ca="1" t="shared" si="204"/>
        <v/>
      </c>
      <c r="P3891" s="62" t="str">
        <f ca="1" t="shared" si="205"/>
        <v/>
      </c>
      <c r="Q3891" s="29" t="str">
        <f>VLOOKUP(B3891,辅助信息!E:M,9,FALSE)</f>
        <v>ZTWM-CDGS-XS-2024-0030-华西集采-简州大道</v>
      </c>
      <c r="R3891" s="29" t="str">
        <f>_xlfn._xlws.FILTER(辅助信息!D:D,辅助信息!E:E=B3891)</f>
        <v>华西简阳西城嘉苑</v>
      </c>
    </row>
    <row r="3892" hidden="1" spans="2:18">
      <c r="B3892" s="135" t="s">
        <v>81</v>
      </c>
      <c r="C3892" s="70">
        <v>45928</v>
      </c>
      <c r="D3892" s="40" t="str">
        <f>VLOOKUP(B3892,辅助信息!E:K,7,FALSE)</f>
        <v>JWDDCD2025060900080</v>
      </c>
      <c r="E3892" s="40" t="str">
        <f>VLOOKUP(F3892,辅助信息!A:B,2,FALSE)</f>
        <v>盘螺</v>
      </c>
      <c r="F3892" s="40" t="s">
        <v>40</v>
      </c>
      <c r="G3892" s="36">
        <v>80</v>
      </c>
      <c r="H3892" s="134">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09" t="str">
        <f>VLOOKUP(B3892,辅助信息!E:J,6,FALSE)</f>
        <v>现场禁止使用氢能源挂车！优先威钢发货,我方卸车,新老国标钢厂不加价可直发，因陕钢多次出现磅差，项目拒绝使用</v>
      </c>
      <c r="M3892" s="148">
        <v>45929</v>
      </c>
      <c r="O3892" s="62">
        <f ca="1" t="shared" si="204"/>
        <v>0</v>
      </c>
      <c r="P3892" s="62">
        <f ca="1" t="shared" si="205"/>
        <v>31</v>
      </c>
      <c r="Q3892" s="29" t="str">
        <f>VLOOKUP(B3892,辅助信息!E:M,9,FALSE)</f>
        <v>ZTWM-CDGS-XS-2024-0030-华西集采-简州大道</v>
      </c>
      <c r="R3892" s="29" t="str">
        <f>_xlfn._xlws.FILTER(辅助信息!D:D,辅助信息!E:E=B3892)</f>
        <v>华西简阳西城嘉苑</v>
      </c>
    </row>
    <row r="3893" hidden="1" spans="2:18">
      <c r="B3893" s="135" t="s">
        <v>186</v>
      </c>
      <c r="C3893" s="70">
        <v>45928</v>
      </c>
      <c r="D3893" s="40" t="str">
        <f>VLOOKUP(B3893,辅助信息!E:K,7,FALSE)</f>
        <v>JWDDCD2025072900123</v>
      </c>
      <c r="E3893" s="40" t="str">
        <f>VLOOKUP(F3893,辅助信息!A:B,2,FALSE)</f>
        <v>螺纹钢</v>
      </c>
      <c r="F3893" s="40" t="s">
        <v>111</v>
      </c>
      <c r="G3893" s="36">
        <v>35</v>
      </c>
      <c r="H3893" s="134"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09" t="str">
        <f>VLOOKUP(B3893,辅助信息!E:J,6,FALSE)</f>
        <v>联系实际收货人（彭江涛13990276572）现场要求炉批号控制2个以下，超2个不给予签收。提前联系到场规格及数量</v>
      </c>
      <c r="M3893" s="148">
        <v>45929</v>
      </c>
      <c r="O3893" s="62">
        <f ca="1" t="shared" si="204"/>
        <v>0</v>
      </c>
      <c r="P3893" s="62">
        <f ca="1" t="shared" si="205"/>
        <v>31</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5" t="s">
        <v>186</v>
      </c>
      <c r="C3894" s="70">
        <v>45928</v>
      </c>
      <c r="D3894" s="40" t="str">
        <f>VLOOKUP(B3894,辅助信息!E:K,7,FALSE)</f>
        <v>JWDDCD2025072900123</v>
      </c>
      <c r="E3894" s="40" t="str">
        <f>VLOOKUP(F3894,辅助信息!A:B,2,FALSE)</f>
        <v>螺纹钢</v>
      </c>
      <c r="F3894" s="40" t="s">
        <v>76</v>
      </c>
      <c r="G3894" s="36">
        <v>35</v>
      </c>
      <c r="H3894" s="134"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09" t="str">
        <f>VLOOKUP(B3894,辅助信息!E:J,6,FALSE)</f>
        <v>联系实际收货人（彭江涛13990276572）现场要求炉批号控制2个以下，超2个不给予签收。提前联系到场规格及数量</v>
      </c>
      <c r="M3894" s="148">
        <v>45929</v>
      </c>
      <c r="O3894" s="62">
        <f ca="1" t="shared" si="204"/>
        <v>0</v>
      </c>
      <c r="P3894" s="62">
        <f ca="1" t="shared" si="205"/>
        <v>31</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5" t="s">
        <v>186</v>
      </c>
      <c r="C3895" s="70">
        <v>45928</v>
      </c>
      <c r="D3895" s="40" t="str">
        <f>VLOOKUP(B3895,辅助信息!E:K,7,FALSE)</f>
        <v>JWDDCD2025072900123</v>
      </c>
      <c r="E3895" s="40" t="str">
        <f>VLOOKUP(F3895,辅助信息!A:B,2,FALSE)</f>
        <v>螺纹钢</v>
      </c>
      <c r="F3895" s="40" t="s">
        <v>197</v>
      </c>
      <c r="G3895" s="36">
        <v>18</v>
      </c>
      <c r="H3895" s="134"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09" t="str">
        <f>VLOOKUP(B3895,辅助信息!E:J,6,FALSE)</f>
        <v>联系实际收货人（彭江涛13990276572）现场要求炉批号控制2个以下，超2个不给予签收。提前联系到场规格及数量</v>
      </c>
      <c r="M3895" s="148">
        <v>45929</v>
      </c>
      <c r="O3895" s="62">
        <f ca="1" t="shared" si="204"/>
        <v>0</v>
      </c>
      <c r="P3895" s="62">
        <f ca="1" t="shared" si="205"/>
        <v>31</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5" t="s">
        <v>186</v>
      </c>
      <c r="C3896" s="70">
        <v>45928</v>
      </c>
      <c r="D3896" s="40" t="str">
        <f>VLOOKUP(B3896,辅助信息!E:K,7,FALSE)</f>
        <v>JWDDCD2025072900123</v>
      </c>
      <c r="E3896" s="40" t="str">
        <f>VLOOKUP(F3896,辅助信息!A:B,2,FALSE)</f>
        <v>螺纹钢</v>
      </c>
      <c r="F3896" s="40" t="s">
        <v>198</v>
      </c>
      <c r="G3896" s="36">
        <v>18</v>
      </c>
      <c r="H3896" s="134"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09" t="str">
        <f>VLOOKUP(B3896,辅助信息!E:J,6,FALSE)</f>
        <v>联系实际收货人（彭江涛13990276572）现场要求炉批号控制2个以下，超2个不给予签收。提前联系到场规格及数量</v>
      </c>
      <c r="M3896" s="148"/>
      <c r="O3896" s="62" t="str">
        <f ca="1" t="shared" si="204"/>
        <v/>
      </c>
      <c r="P3896" s="62"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5" t="s">
        <v>186</v>
      </c>
      <c r="C3897" s="70">
        <v>45928</v>
      </c>
      <c r="D3897" s="40" t="str">
        <f>VLOOKUP(B3897,辅助信息!E:K,7,FALSE)</f>
        <v>JWDDCD2025072900123</v>
      </c>
      <c r="E3897" s="40" t="str">
        <f>VLOOKUP(F3897,辅助信息!A:B,2,FALSE)</f>
        <v>螺纹钢</v>
      </c>
      <c r="F3897" s="40" t="s">
        <v>199</v>
      </c>
      <c r="G3897" s="36">
        <v>18</v>
      </c>
      <c r="H3897" s="134"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09" t="str">
        <f>VLOOKUP(B3897,辅助信息!E:J,6,FALSE)</f>
        <v>联系实际收货人（彭江涛13990276572）现场要求炉批号控制2个以下，超2个不给予签收。提前联系到场规格及数量</v>
      </c>
      <c r="M3897" s="148">
        <v>45929</v>
      </c>
      <c r="O3897" s="62">
        <f ca="1" t="shared" si="204"/>
        <v>0</v>
      </c>
      <c r="P3897" s="62">
        <f ca="1" t="shared" si="205"/>
        <v>31</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5" t="s">
        <v>186</v>
      </c>
      <c r="C3898" s="70">
        <v>45928</v>
      </c>
      <c r="D3898" s="40" t="str">
        <f>VLOOKUP(B3898,辅助信息!E:K,7,FALSE)</f>
        <v>JWDDCD2025072900123</v>
      </c>
      <c r="E3898" s="40" t="str">
        <f>VLOOKUP(F3898,辅助信息!A:B,2,FALSE)</f>
        <v>螺纹钢</v>
      </c>
      <c r="F3898" s="40" t="s">
        <v>141</v>
      </c>
      <c r="G3898" s="36">
        <v>8</v>
      </c>
      <c r="H3898" s="134"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09" t="str">
        <f>VLOOKUP(B3898,辅助信息!E:J,6,FALSE)</f>
        <v>联系实际收货人（彭江涛13990276572）现场要求炉批号控制2个以下，超2个不给予签收。提前联系到场规格及数量</v>
      </c>
      <c r="M3898" s="148">
        <v>45929</v>
      </c>
      <c r="O3898" s="62">
        <f ca="1" t="shared" si="204"/>
        <v>0</v>
      </c>
      <c r="P3898" s="62">
        <f ca="1" t="shared" si="205"/>
        <v>31</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5" t="s">
        <v>186</v>
      </c>
      <c r="C3899" s="70">
        <v>45928</v>
      </c>
      <c r="D3899" s="40" t="str">
        <f>VLOOKUP(B3899,辅助信息!E:K,7,FALSE)</f>
        <v>JWDDCD2025072900123</v>
      </c>
      <c r="E3899" s="40" t="str">
        <f>VLOOKUP(F3899,辅助信息!A:B,2,FALSE)</f>
        <v>螺纹钢</v>
      </c>
      <c r="F3899" s="40" t="s">
        <v>22</v>
      </c>
      <c r="G3899" s="36">
        <v>35</v>
      </c>
      <c r="H3899" s="134"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09" t="str">
        <f>VLOOKUP(B3899,辅助信息!E:J,6,FALSE)</f>
        <v>联系实际收货人（彭江涛13990276572）现场要求炉批号控制2个以下，超2个不给予签收。提前联系到场规格及数量</v>
      </c>
      <c r="M3899" s="148">
        <v>45929</v>
      </c>
      <c r="O3899" s="62">
        <f ca="1" t="shared" si="204"/>
        <v>0</v>
      </c>
      <c r="P3899" s="62">
        <f ca="1" t="shared" si="205"/>
        <v>31</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5" t="s">
        <v>186</v>
      </c>
      <c r="C3900" s="70">
        <v>45928</v>
      </c>
      <c r="D3900" s="40" t="str">
        <f>VLOOKUP(B3900,辅助信息!E:K,7,FALSE)</f>
        <v>JWDDCD2025072900123</v>
      </c>
      <c r="E3900" s="40" t="str">
        <f>VLOOKUP(F3900,辅助信息!A:B,2,FALSE)</f>
        <v>螺纹钢</v>
      </c>
      <c r="F3900" s="40" t="s">
        <v>142</v>
      </c>
      <c r="G3900" s="36">
        <v>35</v>
      </c>
      <c r="H3900" s="134"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09" t="str">
        <f>VLOOKUP(B3900,辅助信息!E:J,6,FALSE)</f>
        <v>联系实际收货人（彭江涛13990276572）现场要求炉批号控制2个以下，超2个不给予签收。提前联系到场规格及数量</v>
      </c>
      <c r="M3900" s="148">
        <v>45929</v>
      </c>
      <c r="O3900" s="62">
        <f ca="1" t="shared" si="204"/>
        <v>0</v>
      </c>
      <c r="P3900" s="62">
        <f ca="1" t="shared" si="205"/>
        <v>31</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5" t="s">
        <v>186</v>
      </c>
      <c r="C3901" s="70">
        <v>45928</v>
      </c>
      <c r="D3901" s="40" t="str">
        <f>VLOOKUP(B3901,辅助信息!E:K,7,FALSE)</f>
        <v>JWDDCD2025072900123</v>
      </c>
      <c r="E3901" s="40" t="str">
        <f>VLOOKUP(F3901,辅助信息!A:B,2,FALSE)</f>
        <v>螺纹钢</v>
      </c>
      <c r="F3901" s="40" t="s">
        <v>181</v>
      </c>
      <c r="G3901" s="36">
        <v>5</v>
      </c>
      <c r="H3901" s="134"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09" t="str">
        <f>VLOOKUP(B3901,辅助信息!E:J,6,FALSE)</f>
        <v>联系实际收货人（彭江涛13990276572）现场要求炉批号控制2个以下，超2个不给予签收。提前联系到场规格及数量</v>
      </c>
      <c r="M3901" s="148">
        <v>45929</v>
      </c>
      <c r="O3901" s="62">
        <f ca="1" t="shared" si="204"/>
        <v>0</v>
      </c>
      <c r="P3901" s="62">
        <f ca="1" t="shared" si="205"/>
        <v>31</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5" t="s">
        <v>186</v>
      </c>
      <c r="C3902" s="70">
        <v>45928</v>
      </c>
      <c r="D3902" s="40" t="str">
        <f>VLOOKUP(B3902,辅助信息!E:K,7,FALSE)</f>
        <v>JWDDCD2025072900123</v>
      </c>
      <c r="E3902" s="40" t="str">
        <f>VLOOKUP(F3902,辅助信息!A:B,2,FALSE)</f>
        <v>螺纹钢</v>
      </c>
      <c r="F3902" s="40" t="s">
        <v>200</v>
      </c>
      <c r="G3902" s="36">
        <v>10</v>
      </c>
      <c r="H3902" s="134"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09" t="str">
        <f>VLOOKUP(B3902,辅助信息!E:J,6,FALSE)</f>
        <v>联系实际收货人（彭江涛13990276572）现场要求炉批号控制2个以下，超2个不给予签收。提前联系到场规格及数量</v>
      </c>
      <c r="M3902" s="148">
        <v>45929</v>
      </c>
      <c r="O3902" s="62">
        <f ca="1" t="shared" si="204"/>
        <v>0</v>
      </c>
      <c r="P3902" s="62">
        <f ca="1" t="shared" si="205"/>
        <v>31</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5" t="s">
        <v>186</v>
      </c>
      <c r="C3903" s="70">
        <v>45928</v>
      </c>
      <c r="D3903" s="40" t="str">
        <f>VLOOKUP(B3903,辅助信息!E:K,7,FALSE)</f>
        <v>JWDDCD2025072900123</v>
      </c>
      <c r="E3903" s="40" t="str">
        <f>VLOOKUP(F3903,辅助信息!A:B,2,FALSE)</f>
        <v>盘螺</v>
      </c>
      <c r="F3903" s="40" t="s">
        <v>41</v>
      </c>
      <c r="G3903" s="36">
        <v>35</v>
      </c>
      <c r="H3903" s="134"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09" t="str">
        <f>VLOOKUP(B3903,辅助信息!E:J,6,FALSE)</f>
        <v>联系实际收货人（彭江涛13990276572）现场要求炉批号控制2个以下，超2个不给予签收。提前联系到场规格及数量</v>
      </c>
      <c r="M3903" s="148">
        <v>45929</v>
      </c>
      <c r="O3903" s="62">
        <f ca="1" t="shared" si="204"/>
        <v>0</v>
      </c>
      <c r="P3903" s="62">
        <f ca="1" t="shared" si="205"/>
        <v>31</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5" t="s">
        <v>186</v>
      </c>
      <c r="C3904" s="70">
        <v>45928</v>
      </c>
      <c r="D3904" s="40" t="str">
        <f>VLOOKUP(B3904,辅助信息!E:K,7,FALSE)</f>
        <v>JWDDCD2025072900123</v>
      </c>
      <c r="E3904" s="40" t="str">
        <f>VLOOKUP(F3904,辅助信息!A:B,2,FALSE)</f>
        <v>盘螺</v>
      </c>
      <c r="F3904" s="40" t="s">
        <v>26</v>
      </c>
      <c r="G3904" s="36">
        <v>20</v>
      </c>
      <c r="H3904" s="134"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09" t="str">
        <f>VLOOKUP(B3904,辅助信息!E:J,6,FALSE)</f>
        <v>联系实际收货人（彭江涛13990276572）现场要求炉批号控制2个以下，超2个不给予签收。提前联系到场规格及数量</v>
      </c>
      <c r="M3904" s="148">
        <v>45929</v>
      </c>
      <c r="O3904" s="62">
        <f ca="1" t="shared" si="204"/>
        <v>0</v>
      </c>
      <c r="P3904" s="62">
        <f ca="1" t="shared" si="205"/>
        <v>31</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5" t="s">
        <v>186</v>
      </c>
      <c r="C3905" s="70">
        <v>45928</v>
      </c>
      <c r="D3905" s="40" t="str">
        <f>VLOOKUP(B3905,辅助信息!E:K,7,FALSE)</f>
        <v>JWDDCD2025072900123</v>
      </c>
      <c r="E3905" s="40" t="str">
        <f>VLOOKUP(F3905,辅助信息!A:B,2,FALSE)</f>
        <v>盘螺</v>
      </c>
      <c r="F3905" s="40" t="s">
        <v>40</v>
      </c>
      <c r="G3905" s="36">
        <v>35</v>
      </c>
      <c r="H3905" s="134"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09" t="str">
        <f>VLOOKUP(B3905,辅助信息!E:J,6,FALSE)</f>
        <v>联系实际收货人（彭江涛13990276572）现场要求炉批号控制2个以下，超2个不给予签收。提前联系到场规格及数量</v>
      </c>
      <c r="M3905" s="148">
        <v>45929</v>
      </c>
      <c r="O3905" s="62">
        <f ca="1" t="shared" si="204"/>
        <v>0</v>
      </c>
      <c r="P3905" s="62">
        <f ca="1" t="shared" si="205"/>
        <v>31</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5" t="s">
        <v>187</v>
      </c>
      <c r="C3906" s="70">
        <v>45928</v>
      </c>
      <c r="D3906" s="40" t="str">
        <f>VLOOKUP(B3906,辅助信息!E:K,7,FALSE)</f>
        <v>JWDDCD2025072900121</v>
      </c>
      <c r="E3906" s="40" t="str">
        <f>VLOOKUP(F3906,辅助信息!A:B,2,FALSE)</f>
        <v>螺纹钢</v>
      </c>
      <c r="F3906" s="40" t="s">
        <v>22</v>
      </c>
      <c r="G3906" s="36">
        <v>7</v>
      </c>
      <c r="H3906" s="134"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09" t="str">
        <f>VLOOKUP(B3906,辅助信息!E:J,6,FALSE)</f>
        <v>联系实际收货人（范增云13668153241）现场要求炉批号控制2个以下，超2个不给予签收。提前联系到场规格及数量</v>
      </c>
      <c r="M3906" s="148">
        <v>45929</v>
      </c>
      <c r="O3906" s="62">
        <f ca="1" t="shared" si="204"/>
        <v>0</v>
      </c>
      <c r="P3906" s="62">
        <f ca="1" t="shared" si="205"/>
        <v>31</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5" t="s">
        <v>187</v>
      </c>
      <c r="C3907" s="70">
        <v>45928</v>
      </c>
      <c r="D3907" s="40" t="str">
        <f>VLOOKUP(B3907,辅助信息!E:K,7,FALSE)</f>
        <v>JWDDCD2025072900121</v>
      </c>
      <c r="E3907" s="40" t="str">
        <f>VLOOKUP(F3907,辅助信息!A:B,2,FALSE)</f>
        <v>盘螺</v>
      </c>
      <c r="F3907" s="40" t="s">
        <v>41</v>
      </c>
      <c r="G3907" s="36">
        <v>20</v>
      </c>
      <c r="H3907" s="134"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09" t="str">
        <f>VLOOKUP(B3907,辅助信息!E:J,6,FALSE)</f>
        <v>联系实际收货人（范增云13668153241）现场要求炉批号控制2个以下，超2个不给予签收。提前联系到场规格及数量</v>
      </c>
      <c r="M3907" s="148">
        <v>45929</v>
      </c>
      <c r="O3907" s="62">
        <f ca="1" t="shared" si="204"/>
        <v>0</v>
      </c>
      <c r="P3907" s="62">
        <f ca="1" t="shared" si="205"/>
        <v>31</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5" t="s">
        <v>187</v>
      </c>
      <c r="C3908" s="70">
        <v>45928</v>
      </c>
      <c r="D3908" s="40" t="str">
        <f>VLOOKUP(B3908,辅助信息!E:K,7,FALSE)</f>
        <v>JWDDCD2025072900121</v>
      </c>
      <c r="E3908" s="40" t="str">
        <f>VLOOKUP(F3908,辅助信息!A:B,2,FALSE)</f>
        <v>盘螺</v>
      </c>
      <c r="F3908" s="40" t="s">
        <v>26</v>
      </c>
      <c r="G3908" s="36">
        <v>20</v>
      </c>
      <c r="H3908" s="134"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09" t="str">
        <f>VLOOKUP(B3908,辅助信息!E:J,6,FALSE)</f>
        <v>联系实际收货人（范增云13668153241）现场要求炉批号控制2个以下，超2个不给予签收。提前联系到场规格及数量</v>
      </c>
      <c r="M3908" s="148">
        <v>45929</v>
      </c>
      <c r="O3908" s="62">
        <f ca="1" t="shared" si="204"/>
        <v>0</v>
      </c>
      <c r="P3908" s="62">
        <f ca="1" t="shared" si="205"/>
        <v>31</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5" t="s">
        <v>187</v>
      </c>
      <c r="C3909" s="70">
        <v>45928</v>
      </c>
      <c r="D3909" s="40" t="str">
        <f>VLOOKUP(B3909,辅助信息!E:K,7,FALSE)</f>
        <v>JWDDCD2025072900121</v>
      </c>
      <c r="E3909" s="40" t="str">
        <f>VLOOKUP(F3909,辅助信息!A:B,2,FALSE)</f>
        <v>盘螺</v>
      </c>
      <c r="F3909" s="40" t="s">
        <v>49</v>
      </c>
      <c r="G3909" s="36">
        <v>10</v>
      </c>
      <c r="H3909" s="134"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09" t="str">
        <f>VLOOKUP(B3909,辅助信息!E:J,6,FALSE)</f>
        <v>联系实际收货人（范增云13668153241）现场要求炉批号控制2个以下，超2个不给予签收。提前联系到场规格及数量</v>
      </c>
      <c r="M3909" s="148">
        <v>45929</v>
      </c>
      <c r="O3909" s="62">
        <f ca="1" t="shared" si="204"/>
        <v>0</v>
      </c>
      <c r="P3909" s="62">
        <f ca="1" t="shared" si="205"/>
        <v>31</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5" t="s">
        <v>187</v>
      </c>
      <c r="C3910" s="70">
        <v>45928</v>
      </c>
      <c r="D3910" s="40" t="str">
        <f>VLOOKUP(B3910,辅助信息!E:K,7,FALSE)</f>
        <v>JWDDCD2025072900121</v>
      </c>
      <c r="E3910" s="40" t="str">
        <f>VLOOKUP(F3910,辅助信息!A:B,2,FALSE)</f>
        <v>盘螺</v>
      </c>
      <c r="F3910" s="40" t="s">
        <v>40</v>
      </c>
      <c r="G3910" s="36">
        <v>25</v>
      </c>
      <c r="H3910" s="134"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09" t="str">
        <f>VLOOKUP(B3910,辅助信息!E:J,6,FALSE)</f>
        <v>联系实际收货人（范增云13668153241）现场要求炉批号控制2个以下，超2个不给予签收。提前联系到场规格及数量</v>
      </c>
      <c r="M3910" s="148">
        <v>45929</v>
      </c>
      <c r="O3910" s="62">
        <f ca="1" t="shared" si="204"/>
        <v>0</v>
      </c>
      <c r="P3910" s="62">
        <f ca="1" t="shared" si="205"/>
        <v>31</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5" t="s">
        <v>179</v>
      </c>
      <c r="C3911" s="70">
        <v>45928</v>
      </c>
      <c r="D3911" s="40" t="str">
        <f>VLOOKUP(B3911,辅助信息!E:K,7,FALSE)</f>
        <v>JWDDCD2025052800131</v>
      </c>
      <c r="E3911" s="40" t="str">
        <f>VLOOKUP(F3911,辅助信息!A:B,2,FALSE)</f>
        <v>螺纹钢</v>
      </c>
      <c r="F3911" s="40" t="s">
        <v>66</v>
      </c>
      <c r="G3911" s="36">
        <v>6</v>
      </c>
      <c r="H3911" s="134"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09" t="str">
        <f>VLOOKUP(B3911,辅助信息!E:J,6,FALSE)</f>
        <v>控制炉批号！多了现场不收！,优先安排达钢,提前联系到场规格及数量</v>
      </c>
      <c r="M3911" s="148">
        <v>45929</v>
      </c>
      <c r="O3911" s="62">
        <f ca="1" t="shared" si="204"/>
        <v>0</v>
      </c>
      <c r="P3911" s="62">
        <f ca="1" t="shared" si="205"/>
        <v>31</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5" t="s">
        <v>179</v>
      </c>
      <c r="C3912" s="70">
        <v>45928</v>
      </c>
      <c r="D3912" s="40" t="str">
        <f>VLOOKUP(B3912,辅助信息!E:K,7,FALSE)</f>
        <v>JWDDCD2025052800131</v>
      </c>
      <c r="E3912" s="40" t="str">
        <f>VLOOKUP(F3912,辅助信息!A:B,2,FALSE)</f>
        <v>螺纹钢</v>
      </c>
      <c r="F3912" s="40" t="s">
        <v>21</v>
      </c>
      <c r="G3912" s="36">
        <v>6</v>
      </c>
      <c r="H3912" s="134"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09" t="str">
        <f>VLOOKUP(B3912,辅助信息!E:J,6,FALSE)</f>
        <v>控制炉批号！多了现场不收！,优先安排达钢,提前联系到场规格及数量</v>
      </c>
      <c r="M3912" s="148">
        <v>45929</v>
      </c>
      <c r="O3912" s="62">
        <f ca="1" t="shared" si="204"/>
        <v>0</v>
      </c>
      <c r="P3912" s="62">
        <f ca="1" t="shared" si="205"/>
        <v>31</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5" t="s">
        <v>179</v>
      </c>
      <c r="C3913" s="70">
        <v>45928</v>
      </c>
      <c r="D3913" s="40" t="str">
        <f>VLOOKUP(B3913,辅助信息!E:K,7,FALSE)</f>
        <v>JWDDCD2025052800131</v>
      </c>
      <c r="E3913" s="40" t="str">
        <f>VLOOKUP(F3913,辅助信息!A:B,2,FALSE)</f>
        <v>螺纹钢</v>
      </c>
      <c r="F3913" s="40" t="s">
        <v>58</v>
      </c>
      <c r="G3913" s="36">
        <v>15</v>
      </c>
      <c r="H3913" s="134"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09" t="str">
        <f>VLOOKUP(B3913,辅助信息!E:J,6,FALSE)</f>
        <v>控制炉批号！多了现场不收！,优先安排达钢,提前联系到场规格及数量</v>
      </c>
      <c r="M3913" s="148">
        <v>45929</v>
      </c>
      <c r="O3913" s="62">
        <f ca="1" t="shared" si="204"/>
        <v>0</v>
      </c>
      <c r="P3913" s="62">
        <f ca="1" t="shared" si="205"/>
        <v>31</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6" t="s">
        <v>179</v>
      </c>
      <c r="C3914" s="70">
        <v>45928</v>
      </c>
      <c r="D3914" s="120" t="str">
        <f>VLOOKUP(B3914,辅助信息!E:K,7,FALSE)</f>
        <v>JWDDCD2025052800131</v>
      </c>
      <c r="E3914" s="120" t="str">
        <f>VLOOKUP(F3914,辅助信息!A:B,2,FALSE)</f>
        <v>螺纹钢</v>
      </c>
      <c r="F3914" s="120" t="s">
        <v>46</v>
      </c>
      <c r="G3914" s="121">
        <v>10</v>
      </c>
      <c r="H3914" s="134"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0" t="str">
        <f>VLOOKUP(B3914,辅助信息!E:I,3,FALSE)</f>
        <v>（商投建工达州中医药科技园-4工区-3号楼）达州市通川区达州中医药职业学院犀牛大道北段</v>
      </c>
      <c r="J3914" s="120" t="str">
        <f>VLOOKUP(B3914,辅助信息!E:I,4,FALSE)</f>
        <v>张扬</v>
      </c>
      <c r="K3914" s="120">
        <f>VLOOKUP(J3914,辅助信息!H:I,2,FALSE)</f>
        <v>18381904567</v>
      </c>
      <c r="L3914" s="122" t="str">
        <f>VLOOKUP(B3914,辅助信息!E:J,6,FALSE)</f>
        <v>控制炉批号！多了现场不收！,优先安排达钢,提前联系到场规格及数量</v>
      </c>
      <c r="M3914" s="148">
        <v>45928</v>
      </c>
      <c r="O3914" s="62">
        <f ca="1" t="shared" si="204"/>
        <v>0</v>
      </c>
      <c r="P3914" s="62">
        <f ca="1" t="shared" si="205"/>
        <v>32</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6" t="s">
        <v>179</v>
      </c>
      <c r="C3915" s="70">
        <v>45928</v>
      </c>
      <c r="D3915" s="120" t="str">
        <f>VLOOKUP(B3915,辅助信息!E:K,7,FALSE)</f>
        <v>JWDDCD2025052800131</v>
      </c>
      <c r="E3915" s="120" t="str">
        <f>VLOOKUP(F3915,辅助信息!A:B,2,FALSE)</f>
        <v>盘螺</v>
      </c>
      <c r="F3915" s="120" t="s">
        <v>41</v>
      </c>
      <c r="G3915" s="121">
        <v>9</v>
      </c>
      <c r="H3915" s="134"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0" t="str">
        <f>VLOOKUP(B3915,辅助信息!E:I,3,FALSE)</f>
        <v>（商投建工达州中医药科技园-4工区-3号楼）达州市通川区达州中医药职业学院犀牛大道北段</v>
      </c>
      <c r="J3915" s="120" t="str">
        <f>VLOOKUP(B3915,辅助信息!E:I,4,FALSE)</f>
        <v>张扬</v>
      </c>
      <c r="K3915" s="120">
        <f>VLOOKUP(J3915,辅助信息!H:I,2,FALSE)</f>
        <v>18381904567</v>
      </c>
      <c r="L3915" s="122" t="str">
        <f>VLOOKUP(B3915,辅助信息!E:J,6,FALSE)</f>
        <v>控制炉批号！多了现场不收！,优先安排达钢,提前联系到场规格及数量</v>
      </c>
      <c r="M3915" s="148">
        <v>45928</v>
      </c>
      <c r="O3915" s="62">
        <f ca="1" t="shared" si="204"/>
        <v>0</v>
      </c>
      <c r="P3915" s="62">
        <f ca="1" t="shared" si="205"/>
        <v>32</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5" t="s">
        <v>179</v>
      </c>
      <c r="C3916" s="70">
        <v>45928</v>
      </c>
      <c r="D3916" s="40" t="str">
        <f>VLOOKUP(B3916,辅助信息!E:K,7,FALSE)</f>
        <v>JWDDCD2025052800131</v>
      </c>
      <c r="E3916" s="40" t="str">
        <f>VLOOKUP(F3916,辅助信息!A:B,2,FALSE)</f>
        <v>盘螺</v>
      </c>
      <c r="F3916" s="40" t="s">
        <v>49</v>
      </c>
      <c r="G3916" s="36">
        <v>6</v>
      </c>
      <c r="H3916" s="134"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09" t="str">
        <f>VLOOKUP(B3916,辅助信息!E:J,6,FALSE)</f>
        <v>控制炉批号！多了现场不收！,优先安排达钢,提前联系到场规格及数量</v>
      </c>
      <c r="M3916" s="148">
        <v>45929</v>
      </c>
      <c r="O3916" s="62">
        <f ca="1" t="shared" si="204"/>
        <v>0</v>
      </c>
      <c r="P3916" s="62">
        <f ca="1" t="shared" si="205"/>
        <v>31</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5" t="s">
        <v>179</v>
      </c>
      <c r="C3917" s="70">
        <v>45928</v>
      </c>
      <c r="D3917" s="40" t="str">
        <f>VLOOKUP(B3917,辅助信息!E:K,7,FALSE)</f>
        <v>JWDDCD2025052800131</v>
      </c>
      <c r="E3917" s="40" t="str">
        <f>VLOOKUP(F3917,辅助信息!A:B,2,FALSE)</f>
        <v>盘螺</v>
      </c>
      <c r="F3917" s="40" t="s">
        <v>40</v>
      </c>
      <c r="G3917" s="36">
        <v>21</v>
      </c>
      <c r="H3917" s="134"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09" t="str">
        <f>VLOOKUP(B3917,辅助信息!E:J,6,FALSE)</f>
        <v>控制炉批号！多了现场不收！,优先安排达钢,提前联系到场规格及数量</v>
      </c>
      <c r="M3917" s="148">
        <v>45929</v>
      </c>
      <c r="O3917" s="62">
        <f ca="1" t="shared" si="204"/>
        <v>0</v>
      </c>
      <c r="P3917" s="62">
        <f ca="1" t="shared" si="205"/>
        <v>31</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5" t="s">
        <v>228</v>
      </c>
      <c r="C3918" s="70">
        <v>45928</v>
      </c>
      <c r="D3918" s="40" t="str">
        <f>VLOOKUP(B3918,辅助信息!E:K,7,FALSE)</f>
        <v>JWDDCD2025092400190</v>
      </c>
      <c r="E3918" s="40" t="str">
        <f>VLOOKUP(F3918,辅助信息!A:B,2,FALSE)</f>
        <v>螺纹钢</v>
      </c>
      <c r="F3918" s="40" t="s">
        <v>27</v>
      </c>
      <c r="G3918" s="36">
        <v>32</v>
      </c>
      <c r="H3918" s="134">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09">
        <f>VLOOKUP(B3918,辅助信息!E:J,6,FALSE)</f>
        <v>0</v>
      </c>
      <c r="M3918" s="148">
        <v>45929</v>
      </c>
      <c r="O3918" s="62">
        <f ca="1" t="shared" si="204"/>
        <v>0</v>
      </c>
      <c r="P3918" s="62">
        <f ca="1" t="shared" si="205"/>
        <v>31</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5" t="s">
        <v>228</v>
      </c>
      <c r="C3919" s="70">
        <v>45928</v>
      </c>
      <c r="D3919" s="40" t="str">
        <f>VLOOKUP(B3919,辅助信息!E:K,7,FALSE)</f>
        <v>JWDDCD2025092400190</v>
      </c>
      <c r="E3919" s="40" t="str">
        <f>VLOOKUP(F3919,辅助信息!A:B,2,FALSE)</f>
        <v>螺纹钢</v>
      </c>
      <c r="F3919" s="40" t="s">
        <v>30</v>
      </c>
      <c r="G3919" s="36">
        <v>15</v>
      </c>
      <c r="H3919" s="134">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09">
        <f>VLOOKUP(B3919,辅助信息!E:J,6,FALSE)</f>
        <v>0</v>
      </c>
      <c r="M3919" s="148">
        <v>45929</v>
      </c>
      <c r="O3919" s="62">
        <f ca="1" t="shared" si="204"/>
        <v>0</v>
      </c>
      <c r="P3919" s="62">
        <f ca="1" t="shared" si="205"/>
        <v>31</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5" t="s">
        <v>228</v>
      </c>
      <c r="C3920" s="70">
        <v>45928</v>
      </c>
      <c r="D3920" s="40" t="str">
        <f>VLOOKUP(B3920,辅助信息!E:K,7,FALSE)</f>
        <v>JWDDCD2025092400190</v>
      </c>
      <c r="E3920" s="40" t="str">
        <f>VLOOKUP(F3920,辅助信息!A:B,2,FALSE)</f>
        <v>螺纹钢</v>
      </c>
      <c r="F3920" s="40" t="s">
        <v>33</v>
      </c>
      <c r="G3920" s="36">
        <v>18</v>
      </c>
      <c r="H3920" s="134">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09">
        <f>VLOOKUP(B3920,辅助信息!E:J,6,FALSE)</f>
        <v>0</v>
      </c>
      <c r="M3920" s="148">
        <v>45929</v>
      </c>
      <c r="O3920" s="62">
        <f ca="1" t="shared" si="204"/>
        <v>0</v>
      </c>
      <c r="P3920" s="62">
        <f ca="1" t="shared" si="205"/>
        <v>31</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5" t="s">
        <v>228</v>
      </c>
      <c r="C3921" s="70">
        <v>45928</v>
      </c>
      <c r="D3921" s="40" t="str">
        <f>VLOOKUP(B3921,辅助信息!E:K,7,FALSE)</f>
        <v>JWDDCD2025092400190</v>
      </c>
      <c r="E3921" s="40" t="str">
        <f>VLOOKUP(F3921,辅助信息!A:B,2,FALSE)</f>
        <v>螺纹钢</v>
      </c>
      <c r="F3921" s="40" t="s">
        <v>28</v>
      </c>
      <c r="G3921" s="36">
        <v>8</v>
      </c>
      <c r="H3921" s="134">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09">
        <f>VLOOKUP(B3921,辅助信息!E:J,6,FALSE)</f>
        <v>0</v>
      </c>
      <c r="M3921" s="148">
        <v>45929</v>
      </c>
      <c r="O3921" s="62">
        <f ca="1" t="shared" si="204"/>
        <v>0</v>
      </c>
      <c r="P3921" s="62">
        <f ca="1" t="shared" si="205"/>
        <v>31</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5" t="s">
        <v>228</v>
      </c>
      <c r="C3922" s="70">
        <v>45928</v>
      </c>
      <c r="D3922" s="40" t="str">
        <f>VLOOKUP(B3922,辅助信息!E:K,7,FALSE)</f>
        <v>JWDDCD2025092400190</v>
      </c>
      <c r="E3922" s="40" t="str">
        <f>VLOOKUP(F3922,辅助信息!A:B,2,FALSE)</f>
        <v>螺纹钢</v>
      </c>
      <c r="F3922" s="40" t="s">
        <v>18</v>
      </c>
      <c r="G3922" s="36">
        <v>8</v>
      </c>
      <c r="H3922" s="134">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09">
        <f>VLOOKUP(B3922,辅助信息!E:J,6,FALSE)</f>
        <v>0</v>
      </c>
      <c r="M3922" s="148">
        <v>45929</v>
      </c>
      <c r="O3922" s="62">
        <f ca="1" t="shared" si="204"/>
        <v>0</v>
      </c>
      <c r="P3922" s="62">
        <f ca="1" t="shared" si="205"/>
        <v>31</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5" t="s">
        <v>228</v>
      </c>
      <c r="C3923" s="70">
        <v>45928</v>
      </c>
      <c r="D3923" s="40" t="str">
        <f>VLOOKUP(B3923,辅助信息!E:K,7,FALSE)</f>
        <v>JWDDCD2025092400190</v>
      </c>
      <c r="E3923" s="40" t="str">
        <f>VLOOKUP(F3923,辅助信息!A:B,2,FALSE)</f>
        <v>盘螺</v>
      </c>
      <c r="F3923" s="40" t="s">
        <v>41</v>
      </c>
      <c r="G3923" s="36">
        <v>30</v>
      </c>
      <c r="H3923" s="134">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09">
        <f>VLOOKUP(B3923,辅助信息!E:J,6,FALSE)</f>
        <v>0</v>
      </c>
      <c r="M3923" s="148">
        <v>45929</v>
      </c>
      <c r="O3923" s="62">
        <f ca="1" t="shared" si="204"/>
        <v>0</v>
      </c>
      <c r="P3923" s="62">
        <f ca="1" t="shared" si="205"/>
        <v>31</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5" t="s">
        <v>228</v>
      </c>
      <c r="C3924" s="70">
        <v>45928</v>
      </c>
      <c r="D3924" s="40" t="str">
        <f>VLOOKUP(B3924,辅助信息!E:K,7,FALSE)</f>
        <v>JWDDCD2025092400190</v>
      </c>
      <c r="E3924" s="40" t="str">
        <f>VLOOKUP(F3924,辅助信息!A:B,2,FALSE)</f>
        <v>盘螺</v>
      </c>
      <c r="F3924" s="40" t="s">
        <v>40</v>
      </c>
      <c r="G3924" s="36">
        <v>30</v>
      </c>
      <c r="H3924" s="134">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09">
        <f>VLOOKUP(B3924,辅助信息!E:J,6,FALSE)</f>
        <v>0</v>
      </c>
      <c r="M3924" s="148">
        <v>45929</v>
      </c>
      <c r="O3924" s="62">
        <f ca="1" t="shared" si="204"/>
        <v>0</v>
      </c>
      <c r="P3924" s="62">
        <f ca="1" t="shared" si="205"/>
        <v>31</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5" t="s">
        <v>224</v>
      </c>
      <c r="C3925" s="70">
        <v>45928</v>
      </c>
      <c r="D3925" s="40" t="str">
        <f>VLOOKUP(B3925,辅助信息!E:K,7,FALSE)</f>
        <v>JWDDCD2025092400188</v>
      </c>
      <c r="E3925" s="40" t="str">
        <f>VLOOKUP(F3925,辅助信息!A:B,2,FALSE)</f>
        <v>螺纹钢</v>
      </c>
      <c r="F3925" s="40" t="s">
        <v>27</v>
      </c>
      <c r="G3925" s="36">
        <v>5</v>
      </c>
      <c r="H3925" s="134"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09">
        <f>VLOOKUP(B3925,辅助信息!E:J,6,FALSE)</f>
        <v>0</v>
      </c>
      <c r="M3925" s="148">
        <v>45929</v>
      </c>
      <c r="O3925" s="62">
        <f ca="1" t="shared" si="204"/>
        <v>0</v>
      </c>
      <c r="P3925" s="62">
        <f ca="1" t="shared" si="205"/>
        <v>31</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5" t="s">
        <v>224</v>
      </c>
      <c r="C3926" s="70">
        <v>45928</v>
      </c>
      <c r="D3926" s="40" t="str">
        <f>VLOOKUP(B3926,辅助信息!E:K,7,FALSE)</f>
        <v>JWDDCD2025092400188</v>
      </c>
      <c r="E3926" s="40" t="str">
        <f>VLOOKUP(F3926,辅助信息!A:B,2,FALSE)</f>
        <v>螺纹钢</v>
      </c>
      <c r="F3926" s="40" t="s">
        <v>19</v>
      </c>
      <c r="G3926" s="36">
        <v>10</v>
      </c>
      <c r="H3926" s="134"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09">
        <f>VLOOKUP(B3926,辅助信息!E:J,6,FALSE)</f>
        <v>0</v>
      </c>
      <c r="M3926" s="148">
        <v>45929</v>
      </c>
      <c r="O3926" s="62">
        <f ca="1" t="shared" si="204"/>
        <v>0</v>
      </c>
      <c r="P3926" s="62">
        <f ca="1" t="shared" si="205"/>
        <v>31</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5" t="s">
        <v>224</v>
      </c>
      <c r="C3927" s="70">
        <v>45928</v>
      </c>
      <c r="D3927" s="40" t="str">
        <f>VLOOKUP(B3927,辅助信息!E:K,7,FALSE)</f>
        <v>JWDDCD2025092400188</v>
      </c>
      <c r="E3927" s="40" t="str">
        <f>VLOOKUP(F3927,辅助信息!A:B,2,FALSE)</f>
        <v>螺纹钢</v>
      </c>
      <c r="F3927" s="40" t="s">
        <v>32</v>
      </c>
      <c r="G3927" s="36">
        <v>5</v>
      </c>
      <c r="H3927" s="134">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09">
        <f>VLOOKUP(B3927,辅助信息!E:J,6,FALSE)</f>
        <v>0</v>
      </c>
      <c r="M3927" s="148">
        <v>45929</v>
      </c>
      <c r="O3927" s="62">
        <f ca="1" t="shared" si="204"/>
        <v>0</v>
      </c>
      <c r="P3927" s="62">
        <f ca="1" t="shared" si="205"/>
        <v>31</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5" t="s">
        <v>224</v>
      </c>
      <c r="C3928" s="70">
        <v>45928</v>
      </c>
      <c r="D3928" s="40" t="str">
        <f>VLOOKUP(B3928,辅助信息!E:K,7,FALSE)</f>
        <v>JWDDCD2025092400188</v>
      </c>
      <c r="E3928" s="40" t="str">
        <f>VLOOKUP(F3928,辅助信息!A:B,2,FALSE)</f>
        <v>螺纹钢</v>
      </c>
      <c r="F3928" s="40" t="s">
        <v>30</v>
      </c>
      <c r="G3928" s="36">
        <v>5</v>
      </c>
      <c r="H3928" s="134">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09">
        <f>VLOOKUP(B3928,辅助信息!E:J,6,FALSE)</f>
        <v>0</v>
      </c>
      <c r="M3928" s="148">
        <v>45929</v>
      </c>
      <c r="O3928" s="62">
        <f ca="1" t="shared" si="204"/>
        <v>0</v>
      </c>
      <c r="P3928" s="62">
        <f ca="1" t="shared" si="205"/>
        <v>31</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5" t="s">
        <v>224</v>
      </c>
      <c r="C3929" s="70">
        <v>45928</v>
      </c>
      <c r="D3929" s="40" t="str">
        <f>VLOOKUP(B3929,辅助信息!E:K,7,FALSE)</f>
        <v>JWDDCD2025092400188</v>
      </c>
      <c r="E3929" s="40" t="str">
        <f>VLOOKUP(F3929,辅助信息!A:B,2,FALSE)</f>
        <v>螺纹钢</v>
      </c>
      <c r="F3929" s="40" t="s">
        <v>33</v>
      </c>
      <c r="G3929" s="36">
        <v>5</v>
      </c>
      <c r="H3929" s="134">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09">
        <f>VLOOKUP(B3929,辅助信息!E:J,6,FALSE)</f>
        <v>0</v>
      </c>
      <c r="M3929" s="148">
        <v>45929</v>
      </c>
      <c r="O3929" s="62">
        <f ca="1" t="shared" si="204"/>
        <v>0</v>
      </c>
      <c r="P3929" s="62">
        <f ca="1" t="shared" si="205"/>
        <v>31</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5" t="s">
        <v>224</v>
      </c>
      <c r="C3930" s="70">
        <v>45928</v>
      </c>
      <c r="D3930" s="40" t="str">
        <f>VLOOKUP(B3930,辅助信息!E:K,7,FALSE)</f>
        <v>JWDDCD2025092400188</v>
      </c>
      <c r="E3930" s="40" t="str">
        <f>VLOOKUP(F3930,辅助信息!A:B,2,FALSE)</f>
        <v>螺纹钢</v>
      </c>
      <c r="F3930" s="40" t="s">
        <v>28</v>
      </c>
      <c r="G3930" s="36">
        <v>5</v>
      </c>
      <c r="H3930" s="134">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09">
        <f>VLOOKUP(B3930,辅助信息!E:J,6,FALSE)</f>
        <v>0</v>
      </c>
      <c r="M3930" s="148">
        <v>45929</v>
      </c>
      <c r="O3930" s="62">
        <f ca="1" t="shared" si="204"/>
        <v>0</v>
      </c>
      <c r="P3930" s="62">
        <f ca="1" t="shared" si="205"/>
        <v>31</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5" t="s">
        <v>226</v>
      </c>
      <c r="C3931" s="70">
        <v>45928</v>
      </c>
      <c r="D3931" s="40" t="str">
        <f>VLOOKUP(B3931,辅助信息!E:K,7,FALSE)</f>
        <v>JWDDCD2025092400211</v>
      </c>
      <c r="E3931" s="40" t="str">
        <f>VLOOKUP(F3931,辅助信息!A:B,2,FALSE)</f>
        <v>螺纹钢</v>
      </c>
      <c r="F3931" s="40" t="s">
        <v>32</v>
      </c>
      <c r="G3931" s="36">
        <v>9</v>
      </c>
      <c r="H3931" s="134">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09">
        <f>VLOOKUP(B3931,辅助信息!E:J,6,FALSE)</f>
        <v>0</v>
      </c>
      <c r="M3931" s="148">
        <v>45929</v>
      </c>
      <c r="O3931" s="62">
        <f ca="1" t="shared" si="204"/>
        <v>0</v>
      </c>
      <c r="P3931" s="62">
        <f ca="1" t="shared" si="205"/>
        <v>31</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5" t="s">
        <v>226</v>
      </c>
      <c r="C3932" s="70">
        <v>45928</v>
      </c>
      <c r="D3932" s="40" t="str">
        <f>VLOOKUP(B3932,辅助信息!E:K,7,FALSE)</f>
        <v>JWDDCD2025092400211</v>
      </c>
      <c r="E3932" s="40" t="str">
        <f>VLOOKUP(F3932,辅助信息!A:B,2,FALSE)</f>
        <v>螺纹钢</v>
      </c>
      <c r="F3932" s="40" t="s">
        <v>33</v>
      </c>
      <c r="G3932" s="36">
        <v>12</v>
      </c>
      <c r="H3932" s="134">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09">
        <f>VLOOKUP(B3932,辅助信息!E:J,6,FALSE)</f>
        <v>0</v>
      </c>
      <c r="M3932" s="148">
        <v>45929</v>
      </c>
      <c r="O3932" s="62">
        <f ca="1" t="shared" si="204"/>
        <v>0</v>
      </c>
      <c r="P3932" s="62">
        <f ca="1" t="shared" si="205"/>
        <v>31</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5" t="s">
        <v>226</v>
      </c>
      <c r="C3933" s="70">
        <v>45928</v>
      </c>
      <c r="D3933" s="40" t="str">
        <f>VLOOKUP(B3933,辅助信息!E:K,7,FALSE)</f>
        <v>JWDDCD2025092400211</v>
      </c>
      <c r="E3933" s="40" t="str">
        <f>VLOOKUP(F3933,辅助信息!A:B,2,FALSE)</f>
        <v>螺纹钢</v>
      </c>
      <c r="F3933" s="40" t="s">
        <v>46</v>
      </c>
      <c r="G3933" s="36">
        <v>32</v>
      </c>
      <c r="H3933" s="134">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09">
        <f>VLOOKUP(B3933,辅助信息!E:J,6,FALSE)</f>
        <v>0</v>
      </c>
      <c r="M3933" s="148">
        <v>45929</v>
      </c>
      <c r="O3933" s="62">
        <f ca="1" t="shared" si="204"/>
        <v>0</v>
      </c>
      <c r="P3933" s="62">
        <f ca="1" t="shared" si="205"/>
        <v>31</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5" t="s">
        <v>226</v>
      </c>
      <c r="C3934" s="70">
        <v>45928</v>
      </c>
      <c r="D3934" s="40" t="str">
        <f>VLOOKUP(B3934,辅助信息!E:K,7,FALSE)</f>
        <v>JWDDCD2025092400211</v>
      </c>
      <c r="E3934" s="40" t="str">
        <f>VLOOKUP(F3934,辅助信息!A:B,2,FALSE)</f>
        <v>盘螺</v>
      </c>
      <c r="F3934" s="40" t="s">
        <v>41</v>
      </c>
      <c r="G3934" s="36">
        <v>55</v>
      </c>
      <c r="H3934" s="134">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09">
        <f>VLOOKUP(B3934,辅助信息!E:J,6,FALSE)</f>
        <v>0</v>
      </c>
      <c r="M3934" s="148">
        <v>45929</v>
      </c>
      <c r="O3934" s="62">
        <f ca="1" t="shared" si="204"/>
        <v>0</v>
      </c>
      <c r="P3934" s="62">
        <f ca="1" t="shared" si="205"/>
        <v>31</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5" t="s">
        <v>226</v>
      </c>
      <c r="C3935" s="70">
        <v>45928</v>
      </c>
      <c r="D3935" s="40" t="str">
        <f>VLOOKUP(B3935,辅助信息!E:K,7,FALSE)</f>
        <v>JWDDCD2025092400211</v>
      </c>
      <c r="E3935" s="40" t="str">
        <f>VLOOKUP(F3935,辅助信息!A:B,2,FALSE)</f>
        <v>盘螺</v>
      </c>
      <c r="F3935" s="40" t="s">
        <v>49</v>
      </c>
      <c r="G3935" s="36">
        <v>15</v>
      </c>
      <c r="H3935" s="134">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09">
        <f>VLOOKUP(B3935,辅助信息!E:J,6,FALSE)</f>
        <v>0</v>
      </c>
      <c r="M3935" s="148">
        <v>45929</v>
      </c>
      <c r="O3935" s="62">
        <f ca="1" t="shared" si="204"/>
        <v>0</v>
      </c>
      <c r="P3935" s="62">
        <f ca="1" t="shared" si="205"/>
        <v>31</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5" t="s">
        <v>226</v>
      </c>
      <c r="C3936" s="70">
        <v>45928</v>
      </c>
      <c r="D3936" s="40" t="str">
        <f>VLOOKUP(B3936,辅助信息!E:K,7,FALSE)</f>
        <v>JWDDCD2025092400211</v>
      </c>
      <c r="E3936" s="40" t="str">
        <f>VLOOKUP(F3936,辅助信息!A:B,2,FALSE)</f>
        <v>盘螺</v>
      </c>
      <c r="F3936" s="40" t="s">
        <v>40</v>
      </c>
      <c r="G3936" s="36">
        <v>123</v>
      </c>
      <c r="H3936" s="134">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09">
        <f>VLOOKUP(B3936,辅助信息!E:J,6,FALSE)</f>
        <v>0</v>
      </c>
      <c r="M3936" s="148">
        <v>45929</v>
      </c>
      <c r="O3936" s="62">
        <f ca="1" t="shared" ref="O3936:O3999" si="206">IF(OR(M3936="",N3936&lt;&gt;""),"",MAX(M3936-TODAY(),0))</f>
        <v>0</v>
      </c>
      <c r="P3936" s="62">
        <f ca="1" t="shared" ref="P3936:P3999" si="207">IF(M3936="","",IF(N3936&lt;&gt;"",MAX(N3936-M3936,0),IF(TODAY()&gt;M3936,TODAY()-M3936,0)))</f>
        <v>31</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5" t="s">
        <v>229</v>
      </c>
      <c r="C3937" s="70">
        <v>45928</v>
      </c>
      <c r="D3937" s="40" t="str">
        <f>VLOOKUP(B3937,辅助信息!E:K,7,FALSE)</f>
        <v>JWDDCD2025092400212</v>
      </c>
      <c r="E3937" s="40" t="str">
        <f>VLOOKUP(F3937,辅助信息!A:B,2,FALSE)</f>
        <v>高线</v>
      </c>
      <c r="F3937" s="40" t="s">
        <v>57</v>
      </c>
      <c r="G3937" s="36">
        <v>5</v>
      </c>
      <c r="H3937" s="134">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09">
        <f>VLOOKUP(B3937,辅助信息!E:J,6,FALSE)</f>
        <v>0</v>
      </c>
      <c r="M3937" s="148">
        <v>45929</v>
      </c>
      <c r="O3937" s="62">
        <f ca="1" t="shared" si="206"/>
        <v>0</v>
      </c>
      <c r="P3937" s="62">
        <f ca="1" t="shared" si="207"/>
        <v>31</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5" t="s">
        <v>229</v>
      </c>
      <c r="C3938" s="70">
        <v>45928</v>
      </c>
      <c r="D3938" s="40" t="str">
        <f>VLOOKUP(B3938,辅助信息!E:K,7,FALSE)</f>
        <v>JWDDCD2025092400212</v>
      </c>
      <c r="E3938" s="40" t="str">
        <f>VLOOKUP(F3938,辅助信息!A:B,2,FALSE)</f>
        <v>高线</v>
      </c>
      <c r="F3938" s="40" t="s">
        <v>53</v>
      </c>
      <c r="G3938" s="36">
        <v>8</v>
      </c>
      <c r="H3938" s="134">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09">
        <f>VLOOKUP(B3938,辅助信息!E:J,6,FALSE)</f>
        <v>0</v>
      </c>
      <c r="M3938" s="148">
        <v>45929</v>
      </c>
      <c r="O3938" s="62">
        <f ca="1" t="shared" si="206"/>
        <v>0</v>
      </c>
      <c r="P3938" s="62">
        <f ca="1" t="shared" si="207"/>
        <v>31</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5" t="s">
        <v>229</v>
      </c>
      <c r="C3939" s="70">
        <v>45928</v>
      </c>
      <c r="D3939" s="40" t="str">
        <f>VLOOKUP(B3939,辅助信息!E:K,7,FALSE)</f>
        <v>JWDDCD2025092400212</v>
      </c>
      <c r="E3939" s="40" t="str">
        <f>VLOOKUP(F3939,辅助信息!A:B,2,FALSE)</f>
        <v>螺纹钢</v>
      </c>
      <c r="F3939" s="40" t="s">
        <v>27</v>
      </c>
      <c r="G3939" s="36">
        <v>80</v>
      </c>
      <c r="H3939" s="134">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09">
        <f>VLOOKUP(B3939,辅助信息!E:J,6,FALSE)</f>
        <v>0</v>
      </c>
      <c r="M3939" s="148">
        <v>45929</v>
      </c>
      <c r="O3939" s="62">
        <f ca="1" t="shared" si="206"/>
        <v>0</v>
      </c>
      <c r="P3939" s="62">
        <f ca="1" t="shared" si="207"/>
        <v>31</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5" t="s">
        <v>229</v>
      </c>
      <c r="C3940" s="70">
        <v>45928</v>
      </c>
      <c r="D3940" s="40" t="str">
        <f>VLOOKUP(B3940,辅助信息!E:K,7,FALSE)</f>
        <v>JWDDCD2025092400212</v>
      </c>
      <c r="E3940" s="40" t="str">
        <f>VLOOKUP(F3940,辅助信息!A:B,2,FALSE)</f>
        <v>螺纹钢</v>
      </c>
      <c r="F3940" s="40" t="s">
        <v>19</v>
      </c>
      <c r="G3940" s="36">
        <v>104</v>
      </c>
      <c r="H3940" s="134">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09">
        <f>VLOOKUP(B3940,辅助信息!E:J,6,FALSE)</f>
        <v>0</v>
      </c>
      <c r="M3940" s="148">
        <v>45929</v>
      </c>
      <c r="O3940" s="62">
        <f ca="1" t="shared" si="206"/>
        <v>0</v>
      </c>
      <c r="P3940" s="62">
        <f ca="1" t="shared" si="207"/>
        <v>31</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5" t="s">
        <v>229</v>
      </c>
      <c r="C3941" s="70">
        <v>45928</v>
      </c>
      <c r="D3941" s="40" t="str">
        <f>VLOOKUP(B3941,辅助信息!E:K,7,FALSE)</f>
        <v>JWDDCD2025092400212</v>
      </c>
      <c r="E3941" s="40" t="str">
        <f>VLOOKUP(F3941,辅助信息!A:B,2,FALSE)</f>
        <v>螺纹钢</v>
      </c>
      <c r="F3941" s="40" t="s">
        <v>32</v>
      </c>
      <c r="G3941" s="36">
        <v>99</v>
      </c>
      <c r="H3941" s="134">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09">
        <f>VLOOKUP(B3941,辅助信息!E:J,6,FALSE)</f>
        <v>0</v>
      </c>
      <c r="M3941" s="148">
        <v>45929</v>
      </c>
      <c r="O3941" s="62">
        <f ca="1" t="shared" si="206"/>
        <v>0</v>
      </c>
      <c r="P3941" s="62">
        <f ca="1" t="shared" si="207"/>
        <v>31</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5" t="s">
        <v>229</v>
      </c>
      <c r="C3942" s="70">
        <v>45928</v>
      </c>
      <c r="D3942" s="40" t="str">
        <f>VLOOKUP(B3942,辅助信息!E:K,7,FALSE)</f>
        <v>JWDDCD2025092400212</v>
      </c>
      <c r="E3942" s="40" t="str">
        <f>VLOOKUP(F3942,辅助信息!A:B,2,FALSE)</f>
        <v>螺纹钢</v>
      </c>
      <c r="F3942" s="40" t="s">
        <v>30</v>
      </c>
      <c r="G3942" s="36">
        <v>53</v>
      </c>
      <c r="H3942" s="134">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09">
        <f>VLOOKUP(B3942,辅助信息!E:J,6,FALSE)</f>
        <v>0</v>
      </c>
      <c r="M3942" s="148">
        <v>45929</v>
      </c>
      <c r="O3942" s="62">
        <f ca="1" t="shared" si="206"/>
        <v>0</v>
      </c>
      <c r="P3942" s="62">
        <f ca="1" t="shared" si="207"/>
        <v>31</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5" t="s">
        <v>229</v>
      </c>
      <c r="C3943" s="70">
        <v>45928</v>
      </c>
      <c r="D3943" s="40" t="str">
        <f>VLOOKUP(B3943,辅助信息!E:K,7,FALSE)</f>
        <v>JWDDCD2025092400212</v>
      </c>
      <c r="E3943" s="40" t="str">
        <f>VLOOKUP(F3943,辅助信息!A:B,2,FALSE)</f>
        <v>螺纹钢</v>
      </c>
      <c r="F3943" s="40" t="s">
        <v>33</v>
      </c>
      <c r="G3943" s="36">
        <v>25</v>
      </c>
      <c r="H3943" s="134">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09">
        <f>VLOOKUP(B3943,辅助信息!E:J,6,FALSE)</f>
        <v>0</v>
      </c>
      <c r="M3943" s="148">
        <v>45929</v>
      </c>
      <c r="O3943" s="62">
        <f ca="1" t="shared" si="206"/>
        <v>0</v>
      </c>
      <c r="P3943" s="62">
        <f ca="1" t="shared" si="207"/>
        <v>31</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5" t="s">
        <v>229</v>
      </c>
      <c r="C3944" s="70">
        <v>45928</v>
      </c>
      <c r="D3944" s="40" t="str">
        <f>VLOOKUP(B3944,辅助信息!E:K,7,FALSE)</f>
        <v>JWDDCD2025092400212</v>
      </c>
      <c r="E3944" s="40" t="str">
        <f>VLOOKUP(F3944,辅助信息!A:B,2,FALSE)</f>
        <v>螺纹钢</v>
      </c>
      <c r="F3944" s="40" t="s">
        <v>28</v>
      </c>
      <c r="G3944" s="36">
        <v>44</v>
      </c>
      <c r="H3944" s="134">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09">
        <f>VLOOKUP(B3944,辅助信息!E:J,6,FALSE)</f>
        <v>0</v>
      </c>
      <c r="M3944" s="148">
        <v>45929</v>
      </c>
      <c r="O3944" s="62">
        <f ca="1" t="shared" si="206"/>
        <v>0</v>
      </c>
      <c r="P3944" s="62">
        <f ca="1" t="shared" si="207"/>
        <v>31</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5" t="s">
        <v>229</v>
      </c>
      <c r="C3945" s="70">
        <v>45928</v>
      </c>
      <c r="D3945" s="40" t="str">
        <f>VLOOKUP(B3945,辅助信息!E:K,7,FALSE)</f>
        <v>JWDDCD2025092400212</v>
      </c>
      <c r="E3945" s="40" t="str">
        <f>VLOOKUP(F3945,辅助信息!A:B,2,FALSE)</f>
        <v>螺纹钢</v>
      </c>
      <c r="F3945" s="40" t="s">
        <v>18</v>
      </c>
      <c r="G3945" s="36">
        <v>19</v>
      </c>
      <c r="H3945" s="134">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09">
        <f>VLOOKUP(B3945,辅助信息!E:J,6,FALSE)</f>
        <v>0</v>
      </c>
      <c r="M3945" s="148">
        <v>45929</v>
      </c>
      <c r="O3945" s="62">
        <f ca="1" t="shared" si="206"/>
        <v>0</v>
      </c>
      <c r="P3945" s="62">
        <f ca="1" t="shared" si="207"/>
        <v>31</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5" t="s">
        <v>229</v>
      </c>
      <c r="C3946" s="70">
        <v>45928</v>
      </c>
      <c r="D3946" s="40" t="str">
        <f>VLOOKUP(B3946,辅助信息!E:K,7,FALSE)</f>
        <v>JWDDCD2025092400212</v>
      </c>
      <c r="E3946" s="40" t="str">
        <f>VLOOKUP(F3946,辅助信息!A:B,2,FALSE)</f>
        <v>螺纹钢</v>
      </c>
      <c r="F3946" s="40" t="s">
        <v>58</v>
      </c>
      <c r="G3946" s="36">
        <v>2.5</v>
      </c>
      <c r="H3946" s="134">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09">
        <f>VLOOKUP(B3946,辅助信息!E:J,6,FALSE)</f>
        <v>0</v>
      </c>
      <c r="M3946" s="148">
        <v>45929</v>
      </c>
      <c r="O3946" s="62">
        <f ca="1" t="shared" si="206"/>
        <v>0</v>
      </c>
      <c r="P3946" s="62">
        <f ca="1" t="shared" si="207"/>
        <v>31</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5" t="s">
        <v>229</v>
      </c>
      <c r="C3947" s="70">
        <v>45928</v>
      </c>
      <c r="D3947" s="40" t="str">
        <f>VLOOKUP(B3947,辅助信息!E:K,7,FALSE)</f>
        <v>JWDDCD2025092400212</v>
      </c>
      <c r="E3947" s="40" t="str">
        <f>VLOOKUP(F3947,辅助信息!A:B,2,FALSE)</f>
        <v>螺纹钢</v>
      </c>
      <c r="F3947" s="40" t="s">
        <v>46</v>
      </c>
      <c r="G3947" s="36">
        <v>5</v>
      </c>
      <c r="H3947" s="134">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09">
        <f>VLOOKUP(B3947,辅助信息!E:J,6,FALSE)</f>
        <v>0</v>
      </c>
      <c r="M3947" s="148">
        <v>45929</v>
      </c>
      <c r="O3947" s="62">
        <f ca="1" t="shared" si="206"/>
        <v>0</v>
      </c>
      <c r="P3947" s="62">
        <f ca="1" t="shared" si="207"/>
        <v>31</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5" t="s">
        <v>229</v>
      </c>
      <c r="C3948" s="70">
        <v>45928</v>
      </c>
      <c r="D3948" s="40" t="str">
        <f>VLOOKUP(B3948,辅助信息!E:K,7,FALSE)</f>
        <v>JWDDCD2025092400212</v>
      </c>
      <c r="E3948" s="40" t="str">
        <f>VLOOKUP(F3948,辅助信息!A:B,2,FALSE)</f>
        <v>螺纹钢</v>
      </c>
      <c r="F3948" s="40" t="s">
        <v>22</v>
      </c>
      <c r="G3948" s="36">
        <v>15</v>
      </c>
      <c r="H3948" s="134">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09">
        <f>VLOOKUP(B3948,辅助信息!E:J,6,FALSE)</f>
        <v>0</v>
      </c>
      <c r="M3948" s="148">
        <v>45929</v>
      </c>
      <c r="O3948" s="62">
        <f ca="1" t="shared" si="206"/>
        <v>0</v>
      </c>
      <c r="P3948" s="62">
        <f ca="1" t="shared" si="207"/>
        <v>31</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5" t="s">
        <v>229</v>
      </c>
      <c r="C3949" s="70">
        <v>45928</v>
      </c>
      <c r="D3949" s="40" t="str">
        <f>VLOOKUP(B3949,辅助信息!E:K,7,FALSE)</f>
        <v>JWDDCD2025092400212</v>
      </c>
      <c r="E3949" s="40" t="str">
        <f>VLOOKUP(F3949,辅助信息!A:B,2,FALSE)</f>
        <v>盘螺</v>
      </c>
      <c r="F3949" s="40" t="s">
        <v>41</v>
      </c>
      <c r="G3949" s="36">
        <v>90</v>
      </c>
      <c r="H3949" s="134">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09">
        <f>VLOOKUP(B3949,辅助信息!E:J,6,FALSE)</f>
        <v>0</v>
      </c>
      <c r="M3949" s="148">
        <v>45929</v>
      </c>
      <c r="O3949" s="62">
        <f ca="1" t="shared" si="206"/>
        <v>0</v>
      </c>
      <c r="P3949" s="62">
        <f ca="1" t="shared" si="207"/>
        <v>31</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5" t="s">
        <v>229</v>
      </c>
      <c r="C3950" s="70">
        <v>45928</v>
      </c>
      <c r="D3950" s="40" t="str">
        <f>VLOOKUP(B3950,辅助信息!E:K,7,FALSE)</f>
        <v>JWDDCD2025092400212</v>
      </c>
      <c r="E3950" s="40" t="str">
        <f>VLOOKUP(F3950,辅助信息!A:B,2,FALSE)</f>
        <v>盘螺</v>
      </c>
      <c r="F3950" s="40" t="s">
        <v>49</v>
      </c>
      <c r="G3950" s="36">
        <v>22</v>
      </c>
      <c r="H3950" s="134">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09">
        <f>VLOOKUP(B3950,辅助信息!E:J,6,FALSE)</f>
        <v>0</v>
      </c>
      <c r="M3950" s="148">
        <v>45929</v>
      </c>
      <c r="O3950" s="62">
        <f ca="1" t="shared" si="206"/>
        <v>0</v>
      </c>
      <c r="P3950" s="62">
        <f ca="1" t="shared" si="207"/>
        <v>31</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5" t="s">
        <v>229</v>
      </c>
      <c r="C3951" s="70">
        <v>45928</v>
      </c>
      <c r="D3951" s="40" t="str">
        <f>VLOOKUP(B3951,辅助信息!E:K,7,FALSE)</f>
        <v>JWDDCD2025092400212</v>
      </c>
      <c r="E3951" s="40" t="str">
        <f>VLOOKUP(F3951,辅助信息!A:B,2,FALSE)</f>
        <v>盘螺</v>
      </c>
      <c r="F3951" s="40" t="s">
        <v>40</v>
      </c>
      <c r="G3951" s="36">
        <v>102</v>
      </c>
      <c r="H3951" s="134">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09">
        <f>VLOOKUP(B3951,辅助信息!E:J,6,FALSE)</f>
        <v>0</v>
      </c>
      <c r="M3951" s="148">
        <v>45929</v>
      </c>
      <c r="O3951" s="62">
        <f ca="1" t="shared" si="206"/>
        <v>0</v>
      </c>
      <c r="P3951" s="62">
        <f ca="1" t="shared" si="207"/>
        <v>31</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5" t="s">
        <v>225</v>
      </c>
      <c r="C3952" s="70">
        <v>45928</v>
      </c>
      <c r="D3952" s="40" t="str">
        <f>VLOOKUP(B3952,辅助信息!E:K,7,FALSE)</f>
        <v>JWDDCD2025092400210</v>
      </c>
      <c r="E3952" s="40" t="str">
        <f>VLOOKUP(F3952,辅助信息!A:B,2,FALSE)</f>
        <v>高线</v>
      </c>
      <c r="F3952" s="40" t="s">
        <v>53</v>
      </c>
      <c r="G3952" s="36">
        <v>15</v>
      </c>
      <c r="H3952" s="134"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09">
        <f>VLOOKUP(B3952,辅助信息!E:J,6,FALSE)</f>
        <v>0</v>
      </c>
      <c r="M3952" s="148">
        <v>45929</v>
      </c>
      <c r="O3952" s="62">
        <f ca="1" t="shared" si="206"/>
        <v>0</v>
      </c>
      <c r="P3952" s="62">
        <f ca="1" t="shared" si="207"/>
        <v>31</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5" t="s">
        <v>225</v>
      </c>
      <c r="C3953" s="70">
        <v>45928</v>
      </c>
      <c r="D3953" s="40" t="str">
        <f>VLOOKUP(B3953,辅助信息!E:K,7,FALSE)</f>
        <v>JWDDCD2025092400210</v>
      </c>
      <c r="E3953" s="40" t="str">
        <f>VLOOKUP(F3953,辅助信息!A:B,2,FALSE)</f>
        <v>螺纹钢</v>
      </c>
      <c r="F3953" s="40" t="s">
        <v>28</v>
      </c>
      <c r="G3953" s="36">
        <v>20</v>
      </c>
      <c r="H3953" s="134"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09">
        <f>VLOOKUP(B3953,辅助信息!E:J,6,FALSE)</f>
        <v>0</v>
      </c>
      <c r="M3953" s="148">
        <v>45929</v>
      </c>
      <c r="O3953" s="62">
        <f ca="1" t="shared" si="206"/>
        <v>0</v>
      </c>
      <c r="P3953" s="62">
        <f ca="1" t="shared" si="207"/>
        <v>31</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5" t="s">
        <v>230</v>
      </c>
      <c r="C3954" s="70">
        <v>45928</v>
      </c>
      <c r="D3954" s="40" t="str">
        <f>VLOOKUP(B3954,辅助信息!E:K,7,FALSE)</f>
        <v>JWDDCD2025102100481</v>
      </c>
      <c r="E3954" s="40" t="str">
        <f>VLOOKUP(F3954,辅助信息!A:B,2,FALSE)</f>
        <v>螺纹钢</v>
      </c>
      <c r="F3954" s="40" t="s">
        <v>18</v>
      </c>
      <c r="G3954" s="36">
        <v>9</v>
      </c>
      <c r="H3954" s="134"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09" t="str">
        <f>VLOOKUP(B3954,辅助信息!E:J,6,FALSE)</f>
        <v>联系实际收货人（易前刚18228465067）五冶建设送货单,6份材质书,锈货不收，装货前联系收货人核实到场规格,没提前告知进场规格现场不给予接收</v>
      </c>
      <c r="M3954" s="148">
        <v>45929</v>
      </c>
      <c r="O3954" s="62">
        <f ca="1" t="shared" si="206"/>
        <v>0</v>
      </c>
      <c r="P3954" s="62">
        <f ca="1" t="shared" si="207"/>
        <v>31</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5" t="s">
        <v>230</v>
      </c>
      <c r="C3955" s="70">
        <v>45928</v>
      </c>
      <c r="D3955" s="40" t="str">
        <f>VLOOKUP(B3955,辅助信息!E:K,7,FALSE)</f>
        <v>JWDDCD2025102100481</v>
      </c>
      <c r="E3955" s="40" t="str">
        <f>VLOOKUP(F3955,辅助信息!A:B,2,FALSE)</f>
        <v>盘螺</v>
      </c>
      <c r="F3955" s="40" t="s">
        <v>41</v>
      </c>
      <c r="G3955" s="36">
        <v>2</v>
      </c>
      <c r="H3955" s="134"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09" t="str">
        <f>VLOOKUP(B3955,辅助信息!E:J,6,FALSE)</f>
        <v>联系实际收货人（易前刚18228465067）五冶建设送货单,6份材质书,锈货不收，装货前联系收货人核实到场规格,没提前告知进场规格现场不给予接收</v>
      </c>
      <c r="M3955" s="148">
        <v>45929</v>
      </c>
      <c r="O3955" s="62">
        <f ca="1" t="shared" si="206"/>
        <v>0</v>
      </c>
      <c r="P3955" s="62">
        <f ca="1" t="shared" si="207"/>
        <v>31</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5" t="s">
        <v>230</v>
      </c>
      <c r="C3956" s="70">
        <v>45928</v>
      </c>
      <c r="D3956" s="40" t="str">
        <f>VLOOKUP(B3956,辅助信息!E:K,7,FALSE)</f>
        <v>JWDDCD2025102100481</v>
      </c>
      <c r="E3956" s="40" t="str">
        <f>VLOOKUP(F3956,辅助信息!A:B,2,FALSE)</f>
        <v>盘螺</v>
      </c>
      <c r="F3956" s="40" t="s">
        <v>40</v>
      </c>
      <c r="G3956" s="36">
        <v>2</v>
      </c>
      <c r="H3956" s="134"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09" t="str">
        <f>VLOOKUP(B3956,辅助信息!E:J,6,FALSE)</f>
        <v>联系实际收货人（易前刚18228465067）五冶建设送货单,6份材质书,锈货不收，装货前联系收货人核实到场规格,没提前告知进场规格现场不给予接收</v>
      </c>
      <c r="M3956" s="148">
        <v>45929</v>
      </c>
      <c r="O3956" s="62">
        <f ca="1" t="shared" si="206"/>
        <v>0</v>
      </c>
      <c r="P3956" s="62">
        <f ca="1" t="shared" si="207"/>
        <v>31</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5" t="s">
        <v>231</v>
      </c>
      <c r="C3957" s="70">
        <v>45928</v>
      </c>
      <c r="D3957" s="40" t="str">
        <f>VLOOKUP(B3957,辅助信息!E:K,7,FALSE)</f>
        <v>JWDDCD2025102100481</v>
      </c>
      <c r="E3957" s="40" t="str">
        <f>VLOOKUP(F3957,辅助信息!A:B,2,FALSE)</f>
        <v>螺纹钢</v>
      </c>
      <c r="F3957" s="40" t="s">
        <v>19</v>
      </c>
      <c r="G3957" s="36">
        <v>24</v>
      </c>
      <c r="H3957" s="134"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09" t="str">
        <f>VLOOKUP(B3957,辅助信息!E:J,6,FALSE)</f>
        <v>联系实际收货人（易前刚18228465067）五冶建设送货单,6份材质书,锈货不收，装货前联系收货人核实到场规格,没提前告知进场规格现场不给予接收</v>
      </c>
      <c r="M3957" s="148">
        <v>45929</v>
      </c>
      <c r="O3957" s="62">
        <f ca="1" t="shared" si="206"/>
        <v>0</v>
      </c>
      <c r="P3957" s="62">
        <f ca="1" t="shared" si="207"/>
        <v>31</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5" t="s">
        <v>231</v>
      </c>
      <c r="C3958" s="70">
        <v>45928</v>
      </c>
      <c r="D3958" s="40" t="str">
        <f>VLOOKUP(B3958,辅助信息!E:K,7,FALSE)</f>
        <v>JWDDCD2025102100481</v>
      </c>
      <c r="E3958" s="40" t="str">
        <f>VLOOKUP(F3958,辅助信息!A:B,2,FALSE)</f>
        <v>螺纹钢</v>
      </c>
      <c r="F3958" s="40" t="s">
        <v>32</v>
      </c>
      <c r="G3958" s="36">
        <v>6</v>
      </c>
      <c r="H3958" s="134"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09" t="str">
        <f>VLOOKUP(B3958,辅助信息!E:J,6,FALSE)</f>
        <v>联系实际收货人（易前刚18228465067）五冶建设送货单,6份材质书,锈货不收，装货前联系收货人核实到场规格,没提前告知进场规格现场不给予接收</v>
      </c>
      <c r="M3958" s="148">
        <v>45929</v>
      </c>
      <c r="O3958" s="62">
        <f ca="1" t="shared" si="206"/>
        <v>0</v>
      </c>
      <c r="P3958" s="62">
        <f ca="1" t="shared" si="207"/>
        <v>31</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5" t="s">
        <v>231</v>
      </c>
      <c r="C3959" s="70">
        <v>45928</v>
      </c>
      <c r="D3959" s="40" t="str">
        <f>VLOOKUP(B3959,辅助信息!E:K,7,FALSE)</f>
        <v>JWDDCD2025102100481</v>
      </c>
      <c r="E3959" s="40" t="str">
        <f>VLOOKUP(F3959,辅助信息!A:B,2,FALSE)</f>
        <v>螺纹钢</v>
      </c>
      <c r="F3959" s="40" t="s">
        <v>28</v>
      </c>
      <c r="G3959" s="36">
        <v>64</v>
      </c>
      <c r="H3959" s="134"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09" t="str">
        <f>VLOOKUP(B3959,辅助信息!E:J,6,FALSE)</f>
        <v>联系实际收货人（易前刚18228465067）五冶建设送货单,6份材质书,锈货不收，装货前联系收货人核实到场规格,没提前告知进场规格现场不给予接收</v>
      </c>
      <c r="M3959" s="148">
        <v>45929</v>
      </c>
      <c r="O3959" s="62">
        <f ca="1" t="shared" si="206"/>
        <v>0</v>
      </c>
      <c r="P3959" s="62">
        <f ca="1" t="shared" si="207"/>
        <v>31</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5" t="s">
        <v>231</v>
      </c>
      <c r="C3960" s="70">
        <v>45928</v>
      </c>
      <c r="D3960" s="40" t="str">
        <f>VLOOKUP(B3960,辅助信息!E:K,7,FALSE)</f>
        <v>JWDDCD2025102100481</v>
      </c>
      <c r="E3960" s="40" t="str">
        <f>VLOOKUP(F3960,辅助信息!A:B,2,FALSE)</f>
        <v>盘螺</v>
      </c>
      <c r="F3960" s="40" t="s">
        <v>49</v>
      </c>
      <c r="G3960" s="36">
        <v>2</v>
      </c>
      <c r="H3960" s="134"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09" t="str">
        <f>VLOOKUP(B3960,辅助信息!E:J,6,FALSE)</f>
        <v>联系实际收货人（易前刚18228465067）五冶建设送货单,6份材质书,锈货不收，装货前联系收货人核实到场规格,没提前告知进场规格现场不给予接收</v>
      </c>
      <c r="M3960" s="148">
        <v>45929</v>
      </c>
      <c r="O3960" s="62">
        <f ca="1" t="shared" si="206"/>
        <v>0</v>
      </c>
      <c r="P3960" s="62">
        <f ca="1" t="shared" si="207"/>
        <v>31</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5" t="s">
        <v>167</v>
      </c>
      <c r="C3961" s="70">
        <v>45928</v>
      </c>
      <c r="D3961" s="40" t="str">
        <f>VLOOKUP(B3961,辅助信息!E:K,7,FALSE)</f>
        <v>JWDDCD2025102100473</v>
      </c>
      <c r="E3961" s="40" t="str">
        <f>VLOOKUP(F3961,辅助信息!A:B,2,FALSE)</f>
        <v>螺纹钢</v>
      </c>
      <c r="F3961" s="40" t="s">
        <v>21</v>
      </c>
      <c r="G3961" s="36">
        <v>5</v>
      </c>
      <c r="H3961" s="134"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09"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8">
        <v>45929</v>
      </c>
      <c r="O3961" s="62">
        <f ca="1" t="shared" si="206"/>
        <v>0</v>
      </c>
      <c r="P3961" s="62">
        <f ca="1" t="shared" si="207"/>
        <v>31</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5" t="s">
        <v>167</v>
      </c>
      <c r="C3962" s="70">
        <v>45928</v>
      </c>
      <c r="D3962" s="40" t="str">
        <f>VLOOKUP(B3962,辅助信息!E:K,7,FALSE)</f>
        <v>JWDDCD2025102100473</v>
      </c>
      <c r="E3962" s="40" t="str">
        <f>VLOOKUP(F3962,辅助信息!A:B,2,FALSE)</f>
        <v>螺纹钢</v>
      </c>
      <c r="F3962" s="40" t="s">
        <v>58</v>
      </c>
      <c r="G3962" s="36">
        <v>11</v>
      </c>
      <c r="H3962" s="134">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09"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8">
        <v>45929</v>
      </c>
      <c r="O3962" s="62">
        <f ca="1" t="shared" si="206"/>
        <v>0</v>
      </c>
      <c r="P3962" s="62">
        <f ca="1" t="shared" si="207"/>
        <v>31</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5" t="s">
        <v>167</v>
      </c>
      <c r="C3963" s="70">
        <v>45928</v>
      </c>
      <c r="D3963" s="40" t="str">
        <f>VLOOKUP(B3963,辅助信息!E:K,7,FALSE)</f>
        <v>JWDDCD2025102100473</v>
      </c>
      <c r="E3963" s="40" t="str">
        <f>VLOOKUP(F3963,辅助信息!A:B,2,FALSE)</f>
        <v>螺纹钢</v>
      </c>
      <c r="F3963" s="40" t="s">
        <v>46</v>
      </c>
      <c r="G3963" s="36">
        <v>5</v>
      </c>
      <c r="H3963" s="134"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09"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8">
        <v>45929</v>
      </c>
      <c r="O3963" s="62">
        <f ca="1" t="shared" si="206"/>
        <v>0</v>
      </c>
      <c r="P3963" s="62">
        <f ca="1" t="shared" si="207"/>
        <v>31</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5" t="s">
        <v>167</v>
      </c>
      <c r="C3964" s="70">
        <v>45928</v>
      </c>
      <c r="D3964" s="40" t="str">
        <f>VLOOKUP(B3964,辅助信息!E:K,7,FALSE)</f>
        <v>JWDDCD2025102100473</v>
      </c>
      <c r="E3964" s="40" t="str">
        <f>VLOOKUP(F3964,辅助信息!A:B,2,FALSE)</f>
        <v>螺纹钢</v>
      </c>
      <c r="F3964" s="40" t="s">
        <v>22</v>
      </c>
      <c r="G3964" s="36">
        <v>35</v>
      </c>
      <c r="H3964" s="134"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09"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8">
        <v>45929</v>
      </c>
      <c r="O3964" s="62">
        <f ca="1" t="shared" si="206"/>
        <v>0</v>
      </c>
      <c r="P3964" s="62">
        <f ca="1" t="shared" si="207"/>
        <v>31</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5" t="s">
        <v>167</v>
      </c>
      <c r="C3965" s="70">
        <v>45928</v>
      </c>
      <c r="D3965" s="40" t="str">
        <f>VLOOKUP(B3965,辅助信息!E:K,7,FALSE)</f>
        <v>JWDDCD2025102100473</v>
      </c>
      <c r="E3965" s="40" t="str">
        <f>VLOOKUP(F3965,辅助信息!A:B,2,FALSE)</f>
        <v>螺纹钢</v>
      </c>
      <c r="F3965" s="40" t="s">
        <v>181</v>
      </c>
      <c r="G3965" s="36">
        <v>10</v>
      </c>
      <c r="H3965" s="134"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09"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8">
        <v>45929</v>
      </c>
      <c r="O3965" s="62">
        <f ca="1" t="shared" si="206"/>
        <v>0</v>
      </c>
      <c r="P3965" s="62">
        <f ca="1" t="shared" si="207"/>
        <v>31</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5" t="s">
        <v>167</v>
      </c>
      <c r="C3966" s="70">
        <v>45928</v>
      </c>
      <c r="D3966" s="40" t="str">
        <f>VLOOKUP(B3966,辅助信息!E:K,7,FALSE)</f>
        <v>JWDDCD2025102100473</v>
      </c>
      <c r="E3966" s="40" t="str">
        <f>VLOOKUP(F3966,辅助信息!A:B,2,FALSE)</f>
        <v>螺纹钢</v>
      </c>
      <c r="F3966" s="40" t="s">
        <v>182</v>
      </c>
      <c r="G3966" s="36">
        <v>43</v>
      </c>
      <c r="H3966" s="134">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09"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8">
        <v>45929</v>
      </c>
      <c r="O3966" s="62">
        <f ca="1" t="shared" si="206"/>
        <v>0</v>
      </c>
      <c r="P3966" s="62">
        <f ca="1" t="shared" si="207"/>
        <v>31</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5" t="s">
        <v>167</v>
      </c>
      <c r="C3967" s="70">
        <v>45928</v>
      </c>
      <c r="D3967" s="40" t="str">
        <f>VLOOKUP(B3967,辅助信息!E:K,7,FALSE)</f>
        <v>JWDDCD2025102100473</v>
      </c>
      <c r="E3967" s="40" t="str">
        <f>VLOOKUP(F3967,辅助信息!A:B,2,FALSE)</f>
        <v>盘螺</v>
      </c>
      <c r="F3967" s="40" t="s">
        <v>41</v>
      </c>
      <c r="G3967" s="36">
        <v>20</v>
      </c>
      <c r="H3967" s="134"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09"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8">
        <v>45929</v>
      </c>
      <c r="O3967" s="62">
        <f ca="1" t="shared" si="206"/>
        <v>0</v>
      </c>
      <c r="P3967" s="62">
        <f ca="1" t="shared" si="207"/>
        <v>31</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5" t="s">
        <v>167</v>
      </c>
      <c r="C3968" s="70">
        <v>45928</v>
      </c>
      <c r="D3968" s="40" t="str">
        <f>VLOOKUP(B3968,辅助信息!E:K,7,FALSE)</f>
        <v>JWDDCD2025102100473</v>
      </c>
      <c r="E3968" s="40" t="str">
        <f>VLOOKUP(F3968,辅助信息!A:B,2,FALSE)</f>
        <v>盘螺</v>
      </c>
      <c r="F3968" s="40" t="s">
        <v>40</v>
      </c>
      <c r="G3968" s="36">
        <v>10</v>
      </c>
      <c r="H3968" s="134"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09"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8">
        <v>45929</v>
      </c>
      <c r="O3968" s="62">
        <f ca="1" t="shared" si="206"/>
        <v>0</v>
      </c>
      <c r="P3968" s="62">
        <f ca="1" t="shared" si="207"/>
        <v>31</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5" t="s">
        <v>215</v>
      </c>
      <c r="C3969" s="70">
        <v>45928</v>
      </c>
      <c r="D3969" s="40" t="str">
        <f>VLOOKUP(B3969,辅助信息!E:K,7,FALSE)</f>
        <v>JWDDCD2025102100486</v>
      </c>
      <c r="E3969" s="40" t="str">
        <f>VLOOKUP(F3969,辅助信息!A:B,2,FALSE)</f>
        <v>螺纹钢</v>
      </c>
      <c r="F3969" s="40" t="s">
        <v>27</v>
      </c>
      <c r="G3969" s="36">
        <v>15</v>
      </c>
      <c r="H3969" s="134"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09" t="str">
        <f>VLOOKUP(B3969,辅助信息!E:J,6,FALSE)</f>
        <v>联系实际收货人（孙敏13617695006）五冶建设送货单,6份材质书,锈货不收，装货前联系收货人核实到场规格,没提前告知进场规格现场不给予接收</v>
      </c>
      <c r="O3969" s="62" t="str">
        <f ca="1" t="shared" si="206"/>
        <v/>
      </c>
      <c r="P3969" s="62"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5" t="s">
        <v>215</v>
      </c>
      <c r="C3970" s="70">
        <v>45928</v>
      </c>
      <c r="D3970" s="40" t="str">
        <f>VLOOKUP(B3970,辅助信息!E:K,7,FALSE)</f>
        <v>JWDDCD2025102100486</v>
      </c>
      <c r="E3970" s="40" t="str">
        <f>VLOOKUP(F3970,辅助信息!A:B,2,FALSE)</f>
        <v>螺纹钢</v>
      </c>
      <c r="F3970" s="40" t="s">
        <v>28</v>
      </c>
      <c r="G3970" s="36">
        <v>5</v>
      </c>
      <c r="H3970" s="134"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09" t="str">
        <f>VLOOKUP(B3970,辅助信息!E:J,6,FALSE)</f>
        <v>联系实际收货人（孙敏13617695006）五冶建设送货单,6份材质书,锈货不收，装货前联系收货人核实到场规格,没提前告知进场规格现场不给予接收</v>
      </c>
      <c r="O3970" s="62" t="str">
        <f ca="1" t="shared" si="206"/>
        <v/>
      </c>
      <c r="P3970" s="62"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5" t="s">
        <v>215</v>
      </c>
      <c r="C3971" s="70">
        <v>45928</v>
      </c>
      <c r="D3971" s="40" t="str">
        <f>VLOOKUP(B3971,辅助信息!E:K,7,FALSE)</f>
        <v>JWDDCD2025102100486</v>
      </c>
      <c r="E3971" s="40" t="str">
        <f>VLOOKUP(F3971,辅助信息!A:B,2,FALSE)</f>
        <v>螺纹钢</v>
      </c>
      <c r="F3971" s="40" t="s">
        <v>18</v>
      </c>
      <c r="G3971" s="36">
        <v>6</v>
      </c>
      <c r="H3971" s="134"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09" t="str">
        <f>VLOOKUP(B3971,辅助信息!E:J,6,FALSE)</f>
        <v>联系实际收货人（孙敏13617695006）五冶建设送货单,6份材质书,锈货不收，装货前联系收货人核实到场规格,没提前告知进场规格现场不给予接收</v>
      </c>
      <c r="O3971" s="62" t="str">
        <f ca="1" t="shared" si="206"/>
        <v/>
      </c>
      <c r="P3971" s="62"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5" t="s">
        <v>215</v>
      </c>
      <c r="C3972" s="70">
        <v>45928</v>
      </c>
      <c r="D3972" s="40" t="str">
        <f>VLOOKUP(B3972,辅助信息!E:K,7,FALSE)</f>
        <v>JWDDCD2025102100486</v>
      </c>
      <c r="E3972" s="40" t="str">
        <f>VLOOKUP(F3972,辅助信息!A:B,2,FALSE)</f>
        <v>螺纹钢</v>
      </c>
      <c r="F3972" s="40" t="s">
        <v>22</v>
      </c>
      <c r="G3972" s="36">
        <v>9</v>
      </c>
      <c r="H3972" s="134"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09" t="str">
        <f>VLOOKUP(B3972,辅助信息!E:J,6,FALSE)</f>
        <v>联系实际收货人（孙敏13617695006）五冶建设送货单,6份材质书,锈货不收，装货前联系收货人核实到场规格,没提前告知进场规格现场不给予接收</v>
      </c>
      <c r="O3972" s="62" t="str">
        <f ca="1" t="shared" si="206"/>
        <v/>
      </c>
      <c r="P3972" s="62"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5" t="s">
        <v>196</v>
      </c>
      <c r="C3973" s="70">
        <v>45928</v>
      </c>
      <c r="D3973" s="40" t="str">
        <f>VLOOKUP(B3973,辅助信息!E:K,7,FALSE)</f>
        <v>JWDDCD2025102100476</v>
      </c>
      <c r="E3973" s="40" t="str">
        <f>VLOOKUP(F3973,辅助信息!A:B,2,FALSE)</f>
        <v>螺纹钢</v>
      </c>
      <c r="F3973" s="40" t="s">
        <v>21</v>
      </c>
      <c r="G3973" s="36">
        <v>5</v>
      </c>
      <c r="H3973" s="134">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09"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2" t="str">
        <f ca="1" t="shared" si="206"/>
        <v/>
      </c>
      <c r="P3973" s="62"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5" t="s">
        <v>196</v>
      </c>
      <c r="C3974" s="70">
        <v>45928</v>
      </c>
      <c r="D3974" s="40" t="str">
        <f>VLOOKUP(B3974,辅助信息!E:K,7,FALSE)</f>
        <v>JWDDCD2025102100476</v>
      </c>
      <c r="E3974" s="40" t="str">
        <f>VLOOKUP(F3974,辅助信息!A:B,2,FALSE)</f>
        <v>螺纹钢</v>
      </c>
      <c r="F3974" s="40" t="s">
        <v>22</v>
      </c>
      <c r="G3974" s="36">
        <v>30</v>
      </c>
      <c r="H3974" s="134">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09"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2" t="str">
        <f ca="1" t="shared" si="206"/>
        <v/>
      </c>
      <c r="P3974" s="62"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5" t="s">
        <v>204</v>
      </c>
      <c r="C3975" s="70">
        <v>45928</v>
      </c>
      <c r="D3975" s="40" t="str">
        <f>VLOOKUP(B3975,辅助信息!E:K,7,FALSE)</f>
        <v>JWDDCD2025062200016</v>
      </c>
      <c r="E3975" s="40" t="str">
        <f>VLOOKUP(F3975,辅助信息!A:B,2,FALSE)</f>
        <v>螺纹钢</v>
      </c>
      <c r="F3975" s="40" t="s">
        <v>19</v>
      </c>
      <c r="G3975" s="36">
        <v>9</v>
      </c>
      <c r="H3975" s="134">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09" t="str">
        <f>VLOOKUP(B3975,辅助信息!E:J,6,FALSE)</f>
        <v>锈货不收！！下雨天钢筋没盖篷布不收！！，装货前联系收货人核实到场规格,没提前告知进场规格现场不给予接收</v>
      </c>
      <c r="O3975" s="62" t="str">
        <f ca="1" t="shared" si="206"/>
        <v/>
      </c>
      <c r="P3975" s="62"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5" t="s">
        <v>204</v>
      </c>
      <c r="C3976" s="70">
        <v>45928</v>
      </c>
      <c r="D3976" s="40" t="str">
        <f>VLOOKUP(B3976,辅助信息!E:K,7,FALSE)</f>
        <v>JWDDCD2025062200016</v>
      </c>
      <c r="E3976" s="40" t="str">
        <f>VLOOKUP(F3976,辅助信息!A:B,2,FALSE)</f>
        <v>螺纹钢</v>
      </c>
      <c r="F3976" s="40" t="s">
        <v>32</v>
      </c>
      <c r="G3976" s="36">
        <v>9</v>
      </c>
      <c r="H3976" s="134">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09" t="str">
        <f>VLOOKUP(B3976,辅助信息!E:J,6,FALSE)</f>
        <v>锈货不收！！下雨天钢筋没盖篷布不收！！，装货前联系收货人核实到场规格,没提前告知进场规格现场不给予接收</v>
      </c>
      <c r="O3976" s="62" t="str">
        <f ca="1" t="shared" si="206"/>
        <v/>
      </c>
      <c r="P3976" s="62"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5" t="s">
        <v>204</v>
      </c>
      <c r="C3977" s="70">
        <v>45928</v>
      </c>
      <c r="D3977" s="40" t="str">
        <f>VLOOKUP(B3977,辅助信息!E:K,7,FALSE)</f>
        <v>JWDDCD2025062200016</v>
      </c>
      <c r="E3977" s="40" t="str">
        <f>VLOOKUP(F3977,辅助信息!A:B,2,FALSE)</f>
        <v>螺纹钢</v>
      </c>
      <c r="F3977" s="40" t="s">
        <v>30</v>
      </c>
      <c r="G3977" s="36">
        <v>9</v>
      </c>
      <c r="H3977" s="134"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09" t="str">
        <f>VLOOKUP(B3977,辅助信息!E:J,6,FALSE)</f>
        <v>锈货不收！！下雨天钢筋没盖篷布不收！！，装货前联系收货人核实到场规格,没提前告知进场规格现场不给予接收</v>
      </c>
      <c r="O3977" s="62" t="str">
        <f ca="1" t="shared" si="206"/>
        <v/>
      </c>
      <c r="P3977" s="62"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5" t="s">
        <v>204</v>
      </c>
      <c r="C3978" s="70">
        <v>45928</v>
      </c>
      <c r="D3978" s="40" t="str">
        <f>VLOOKUP(B3978,辅助信息!E:K,7,FALSE)</f>
        <v>JWDDCD2025062200016</v>
      </c>
      <c r="E3978" s="40" t="str">
        <f>VLOOKUP(F3978,辅助信息!A:B,2,FALSE)</f>
        <v>螺纹钢</v>
      </c>
      <c r="F3978" s="40" t="s">
        <v>33</v>
      </c>
      <c r="G3978" s="36">
        <v>30</v>
      </c>
      <c r="H3978" s="134">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09" t="str">
        <f>VLOOKUP(B3978,辅助信息!E:J,6,FALSE)</f>
        <v>锈货不收！！下雨天钢筋没盖篷布不收！！，装货前联系收货人核实到场规格,没提前告知进场规格现场不给予接收</v>
      </c>
      <c r="O3978" s="62" t="str">
        <f ca="1" t="shared" si="206"/>
        <v/>
      </c>
      <c r="P3978" s="62"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5" t="s">
        <v>204</v>
      </c>
      <c r="C3979" s="70">
        <v>45928</v>
      </c>
      <c r="D3979" s="40" t="str">
        <f>VLOOKUP(B3979,辅助信息!E:K,7,FALSE)</f>
        <v>JWDDCD2025062200016</v>
      </c>
      <c r="E3979" s="40" t="str">
        <f>VLOOKUP(F3979,辅助信息!A:B,2,FALSE)</f>
        <v>螺纹钢</v>
      </c>
      <c r="F3979" s="40" t="s">
        <v>28</v>
      </c>
      <c r="G3979" s="36">
        <v>3</v>
      </c>
      <c r="H3979" s="134"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09" t="str">
        <f>VLOOKUP(B3979,辅助信息!E:J,6,FALSE)</f>
        <v>锈货不收！！下雨天钢筋没盖篷布不收！！，装货前联系收货人核实到场规格,没提前告知进场规格现场不给予接收</v>
      </c>
      <c r="O3979" s="62" t="str">
        <f ca="1" t="shared" si="206"/>
        <v/>
      </c>
      <c r="P3979" s="62"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5" t="s">
        <v>204</v>
      </c>
      <c r="C3980" s="70">
        <v>45928</v>
      </c>
      <c r="D3980" s="40" t="str">
        <f>VLOOKUP(B3980,辅助信息!E:K,7,FALSE)</f>
        <v>JWDDCD2025062200016</v>
      </c>
      <c r="E3980" s="40" t="str">
        <f>VLOOKUP(F3980,辅助信息!A:B,2,FALSE)</f>
        <v>螺纹钢</v>
      </c>
      <c r="F3980" s="40" t="s">
        <v>18</v>
      </c>
      <c r="G3980" s="36">
        <v>15</v>
      </c>
      <c r="H3980" s="134">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09" t="str">
        <f>VLOOKUP(B3980,辅助信息!E:J,6,FALSE)</f>
        <v>锈货不收！！下雨天钢筋没盖篷布不收！！，装货前联系收货人核实到场规格,没提前告知进场规格现场不给予接收</v>
      </c>
      <c r="O3980" s="62" t="str">
        <f ca="1" t="shared" si="206"/>
        <v/>
      </c>
      <c r="P3980" s="62"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5" t="s">
        <v>204</v>
      </c>
      <c r="C3981" s="70">
        <v>45928</v>
      </c>
      <c r="D3981" s="40" t="str">
        <f>VLOOKUP(B3981,辅助信息!E:K,7,FALSE)</f>
        <v>JWDDCD2025062200016</v>
      </c>
      <c r="E3981" s="40" t="str">
        <f>VLOOKUP(F3981,辅助信息!A:B,2,FALSE)</f>
        <v>盘螺</v>
      </c>
      <c r="F3981" s="40" t="s">
        <v>41</v>
      </c>
      <c r="G3981" s="36">
        <v>24</v>
      </c>
      <c r="H3981" s="134">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09" t="str">
        <f>VLOOKUP(B3981,辅助信息!E:J,6,FALSE)</f>
        <v>锈货不收！！下雨天钢筋没盖篷布不收！！，装货前联系收货人核实到场规格,没提前告知进场规格现场不给予接收</v>
      </c>
      <c r="O3981" s="62" t="str">
        <f ca="1" t="shared" si="206"/>
        <v/>
      </c>
      <c r="P3981" s="62"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5" t="s">
        <v>204</v>
      </c>
      <c r="C3982" s="70">
        <v>45928</v>
      </c>
      <c r="D3982" s="40" t="str">
        <f>VLOOKUP(B3982,辅助信息!E:K,7,FALSE)</f>
        <v>JWDDCD2025062200016</v>
      </c>
      <c r="E3982" s="40" t="str">
        <f>VLOOKUP(F3982,辅助信息!A:B,2,FALSE)</f>
        <v>盘螺</v>
      </c>
      <c r="F3982" s="40" t="s">
        <v>40</v>
      </c>
      <c r="G3982" s="36">
        <v>2</v>
      </c>
      <c r="H3982" s="134">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09" t="str">
        <f>VLOOKUP(B3982,辅助信息!E:J,6,FALSE)</f>
        <v>锈货不收！！下雨天钢筋没盖篷布不收！！，装货前联系收货人核实到场规格,没提前告知进场规格现场不给予接收</v>
      </c>
      <c r="O3982" s="62" t="str">
        <f ca="1" t="shared" si="206"/>
        <v/>
      </c>
      <c r="P3982" s="62"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5" t="s">
        <v>177</v>
      </c>
      <c r="C3983" s="70">
        <v>45928</v>
      </c>
      <c r="D3983" s="40" t="str">
        <f>VLOOKUP(B3983,辅助信息!E:K,7,FALSE)</f>
        <v>JWDDCD2025062200016</v>
      </c>
      <c r="E3983" s="40" t="str">
        <f>VLOOKUP(F3983,辅助信息!A:B,2,FALSE)</f>
        <v>螺纹钢</v>
      </c>
      <c r="F3983" s="40" t="s">
        <v>27</v>
      </c>
      <c r="G3983" s="36">
        <v>5</v>
      </c>
      <c r="H3983" s="134">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09" t="str">
        <f>VLOOKUP(B3983,辅助信息!E:J,6,FALSE)</f>
        <v>锈货不收！！下雨天钢筋没盖篷布不收！！，装货前联系收货人核实到场规格,没提前告知进场规格现场不给予接收</v>
      </c>
      <c r="O3983" s="62" t="str">
        <f ca="1" t="shared" si="206"/>
        <v/>
      </c>
      <c r="P3983" s="62"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5" t="s">
        <v>177</v>
      </c>
      <c r="C3984" s="70">
        <v>45928</v>
      </c>
      <c r="D3984" s="40" t="str">
        <f>VLOOKUP(B3984,辅助信息!E:K,7,FALSE)</f>
        <v>JWDDCD2025062200016</v>
      </c>
      <c r="E3984" s="40" t="str">
        <f>VLOOKUP(F3984,辅助信息!A:B,2,FALSE)</f>
        <v>螺纹钢</v>
      </c>
      <c r="F3984" s="40" t="s">
        <v>19</v>
      </c>
      <c r="G3984" s="36">
        <v>6</v>
      </c>
      <c r="H3984" s="134">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09" t="str">
        <f>VLOOKUP(B3984,辅助信息!E:J,6,FALSE)</f>
        <v>锈货不收！！下雨天钢筋没盖篷布不收！！，装货前联系收货人核实到场规格,没提前告知进场规格现场不给予接收</v>
      </c>
      <c r="O3984" s="62" t="str">
        <f ca="1" t="shared" si="206"/>
        <v/>
      </c>
      <c r="P3984" s="62"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5" t="s">
        <v>177</v>
      </c>
      <c r="C3985" s="70">
        <v>45928</v>
      </c>
      <c r="D3985" s="40" t="str">
        <f>VLOOKUP(B3985,辅助信息!E:K,7,FALSE)</f>
        <v>JWDDCD2025062200016</v>
      </c>
      <c r="E3985" s="40" t="str">
        <f>VLOOKUP(F3985,辅助信息!A:B,2,FALSE)</f>
        <v>螺纹钢</v>
      </c>
      <c r="F3985" s="40" t="s">
        <v>32</v>
      </c>
      <c r="G3985" s="36">
        <v>3</v>
      </c>
      <c r="H3985" s="134">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09" t="str">
        <f>VLOOKUP(B3985,辅助信息!E:J,6,FALSE)</f>
        <v>锈货不收！！下雨天钢筋没盖篷布不收！！，装货前联系收货人核实到场规格,没提前告知进场规格现场不给予接收</v>
      </c>
      <c r="O3985" s="62" t="str">
        <f ca="1" t="shared" si="206"/>
        <v/>
      </c>
      <c r="P3985" s="62"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5" t="s">
        <v>177</v>
      </c>
      <c r="C3986" s="70">
        <v>45928</v>
      </c>
      <c r="D3986" s="40" t="str">
        <f>VLOOKUP(B3986,辅助信息!E:K,7,FALSE)</f>
        <v>JWDDCD2025062200016</v>
      </c>
      <c r="E3986" s="40" t="str">
        <f>VLOOKUP(F3986,辅助信息!A:B,2,FALSE)</f>
        <v>螺纹钢</v>
      </c>
      <c r="F3986" s="40" t="s">
        <v>30</v>
      </c>
      <c r="G3986" s="36">
        <v>16</v>
      </c>
      <c r="H3986" s="134"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09" t="str">
        <f>VLOOKUP(B3986,辅助信息!E:J,6,FALSE)</f>
        <v>锈货不收！！下雨天钢筋没盖篷布不收！！，装货前联系收货人核实到场规格,没提前告知进场规格现场不给予接收</v>
      </c>
      <c r="O3986" s="62" t="str">
        <f ca="1" t="shared" si="206"/>
        <v/>
      </c>
      <c r="P3986" s="62"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5" t="s">
        <v>177</v>
      </c>
      <c r="C3987" s="70">
        <v>45928</v>
      </c>
      <c r="D3987" s="40" t="str">
        <f>VLOOKUP(B3987,辅助信息!E:K,7,FALSE)</f>
        <v>JWDDCD2025062200016</v>
      </c>
      <c r="E3987" s="40" t="str">
        <f>VLOOKUP(F3987,辅助信息!A:B,2,FALSE)</f>
        <v>螺纹钢</v>
      </c>
      <c r="F3987" s="40" t="s">
        <v>33</v>
      </c>
      <c r="G3987" s="36">
        <v>8</v>
      </c>
      <c r="H3987" s="134"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09" t="str">
        <f>VLOOKUP(B3987,辅助信息!E:J,6,FALSE)</f>
        <v>锈货不收！！下雨天钢筋没盖篷布不收！！，装货前联系收货人核实到场规格,没提前告知进场规格现场不给予接收</v>
      </c>
      <c r="O3987" s="62" t="str">
        <f ca="1" t="shared" si="206"/>
        <v/>
      </c>
      <c r="P3987" s="62"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5" t="s">
        <v>177</v>
      </c>
      <c r="C3988" s="70">
        <v>45928</v>
      </c>
      <c r="D3988" s="40" t="str">
        <f>VLOOKUP(B3988,辅助信息!E:K,7,FALSE)</f>
        <v>JWDDCD2025062200016</v>
      </c>
      <c r="E3988" s="40" t="str">
        <f>VLOOKUP(F3988,辅助信息!A:B,2,FALSE)</f>
        <v>螺纹钢</v>
      </c>
      <c r="F3988" s="40" t="s">
        <v>18</v>
      </c>
      <c r="G3988" s="36">
        <v>8</v>
      </c>
      <c r="H3988" s="134"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09" t="str">
        <f>VLOOKUP(B3988,辅助信息!E:J,6,FALSE)</f>
        <v>锈货不收！！下雨天钢筋没盖篷布不收！！，装货前联系收货人核实到场规格,没提前告知进场规格现场不给予接收</v>
      </c>
      <c r="O3988" s="62" t="str">
        <f ca="1" t="shared" si="206"/>
        <v/>
      </c>
      <c r="P3988" s="62"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5" t="s">
        <v>177</v>
      </c>
      <c r="C3989" s="70">
        <v>45928</v>
      </c>
      <c r="D3989" s="40" t="str">
        <f>VLOOKUP(B3989,辅助信息!E:K,7,FALSE)</f>
        <v>JWDDCD2025062200016</v>
      </c>
      <c r="E3989" s="40" t="str">
        <f>VLOOKUP(F3989,辅助信息!A:B,2,FALSE)</f>
        <v>盘螺</v>
      </c>
      <c r="F3989" s="40" t="s">
        <v>41</v>
      </c>
      <c r="G3989" s="36">
        <v>10</v>
      </c>
      <c r="H3989" s="134">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09" t="str">
        <f>VLOOKUP(B3989,辅助信息!E:J,6,FALSE)</f>
        <v>锈货不收！！下雨天钢筋没盖篷布不收！！，装货前联系收货人核实到场规格,没提前告知进场规格现场不给予接收</v>
      </c>
      <c r="O3989" s="62" t="str">
        <f ca="1" t="shared" si="206"/>
        <v/>
      </c>
      <c r="P3989" s="62"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5" t="s">
        <v>177</v>
      </c>
      <c r="C3990" s="70">
        <v>45928</v>
      </c>
      <c r="D3990" s="40" t="str">
        <f>VLOOKUP(B3990,辅助信息!E:K,7,FALSE)</f>
        <v>JWDDCD2025062200016</v>
      </c>
      <c r="E3990" s="40" t="str">
        <f>VLOOKUP(F3990,辅助信息!A:B,2,FALSE)</f>
        <v>盘螺</v>
      </c>
      <c r="F3990" s="40" t="s">
        <v>40</v>
      </c>
      <c r="G3990" s="36">
        <v>10</v>
      </c>
      <c r="H3990" s="134">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09" t="str">
        <f>VLOOKUP(B3990,辅助信息!E:J,6,FALSE)</f>
        <v>锈货不收！！下雨天钢筋没盖篷布不收！！，装货前联系收货人核实到场规格,没提前告知进场规格现场不给予接收</v>
      </c>
      <c r="O3990" s="62" t="str">
        <f ca="1" t="shared" si="206"/>
        <v/>
      </c>
      <c r="P3990" s="62"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5" t="s">
        <v>194</v>
      </c>
      <c r="C3991" s="70">
        <v>45928</v>
      </c>
      <c r="D3991" s="40" t="str">
        <f>VLOOKUP(B3991,辅助信息!E:K,7,FALSE)</f>
        <v>JWDD2025071500089</v>
      </c>
      <c r="E3991" s="40" t="str">
        <f>VLOOKUP(F3991,辅助信息!A:B,2,FALSE)</f>
        <v>螺纹钢</v>
      </c>
      <c r="F3991" s="40" t="s">
        <v>19</v>
      </c>
      <c r="G3991" s="36">
        <v>65</v>
      </c>
      <c r="H3991" s="134">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09" t="str">
        <f>VLOOKUP(B3991,辅助信息!E:J,6,FALSE)</f>
        <v>现场要求调度统一联系指定收货人，不单独发司机位置。锈货不收，装货前联系收货人核实到场规格,没提前告知进场规格现场不给予接收</v>
      </c>
      <c r="O3991" s="62" t="str">
        <f ca="1" t="shared" si="206"/>
        <v/>
      </c>
      <c r="P3991" s="62"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5" t="s">
        <v>194</v>
      </c>
      <c r="C3992" s="70">
        <v>45928</v>
      </c>
      <c r="D3992" s="40" t="str">
        <f>VLOOKUP(B3992,辅助信息!E:K,7,FALSE)</f>
        <v>JWDD2025071500089</v>
      </c>
      <c r="E3992" s="40" t="str">
        <f>VLOOKUP(F3992,辅助信息!A:B,2,FALSE)</f>
        <v>螺纹钢</v>
      </c>
      <c r="F3992" s="40" t="s">
        <v>32</v>
      </c>
      <c r="G3992" s="36">
        <v>10</v>
      </c>
      <c r="H3992" s="134">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09" t="str">
        <f>VLOOKUP(B3992,辅助信息!E:J,6,FALSE)</f>
        <v>现场要求调度统一联系指定收货人，不单独发司机位置。锈货不收，装货前联系收货人核实到场规格,没提前告知进场规格现场不给予接收</v>
      </c>
      <c r="O3992" s="62" t="str">
        <f ca="1" t="shared" si="206"/>
        <v/>
      </c>
      <c r="P3992" s="62"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5" t="s">
        <v>194</v>
      </c>
      <c r="C3993" s="70">
        <v>45928</v>
      </c>
      <c r="D3993" s="40" t="str">
        <f>VLOOKUP(B3993,辅助信息!E:K,7,FALSE)</f>
        <v>JWDD2025071500089</v>
      </c>
      <c r="E3993" s="40" t="str">
        <f>VLOOKUP(F3993,辅助信息!A:B,2,FALSE)</f>
        <v>螺纹钢</v>
      </c>
      <c r="F3993" s="40" t="s">
        <v>33</v>
      </c>
      <c r="G3993" s="36">
        <v>5</v>
      </c>
      <c r="H3993" s="134">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09" t="str">
        <f>VLOOKUP(B3993,辅助信息!E:J,6,FALSE)</f>
        <v>现场要求调度统一联系指定收货人，不单独发司机位置。锈货不收，装货前联系收货人核实到场规格,没提前告知进场规格现场不给予接收</v>
      </c>
      <c r="O3993" s="62" t="str">
        <f ca="1" t="shared" si="206"/>
        <v/>
      </c>
      <c r="P3993" s="62"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5" t="s">
        <v>194</v>
      </c>
      <c r="C3994" s="70">
        <v>45928</v>
      </c>
      <c r="D3994" s="40" t="str">
        <f>VLOOKUP(B3994,辅助信息!E:K,7,FALSE)</f>
        <v>JWDD2025071500089</v>
      </c>
      <c r="E3994" s="40" t="str">
        <f>VLOOKUP(F3994,辅助信息!A:B,2,FALSE)</f>
        <v>螺纹钢</v>
      </c>
      <c r="F3994" s="40" t="s">
        <v>28</v>
      </c>
      <c r="G3994" s="36">
        <v>7.5</v>
      </c>
      <c r="H3994" s="134">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09" t="str">
        <f>VLOOKUP(B3994,辅助信息!E:J,6,FALSE)</f>
        <v>现场要求调度统一联系指定收货人，不单独发司机位置。锈货不收，装货前联系收货人核实到场规格,没提前告知进场规格现场不给予接收</v>
      </c>
      <c r="O3994" s="62" t="str">
        <f ca="1" t="shared" si="206"/>
        <v/>
      </c>
      <c r="P3994" s="62"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5" t="s">
        <v>194</v>
      </c>
      <c r="C3995" s="70">
        <v>45928</v>
      </c>
      <c r="D3995" s="40" t="str">
        <f>VLOOKUP(B3995,辅助信息!E:K,7,FALSE)</f>
        <v>JWDD2025071500089</v>
      </c>
      <c r="E3995" s="40" t="str">
        <f>VLOOKUP(F3995,辅助信息!A:B,2,FALSE)</f>
        <v>螺纹钢</v>
      </c>
      <c r="F3995" s="40" t="s">
        <v>18</v>
      </c>
      <c r="G3995" s="36">
        <v>17.5</v>
      </c>
      <c r="H3995" s="134">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09" t="str">
        <f>VLOOKUP(B3995,辅助信息!E:J,6,FALSE)</f>
        <v>现场要求调度统一联系指定收货人，不单独发司机位置。锈货不收，装货前联系收货人核实到场规格,没提前告知进场规格现场不给予接收</v>
      </c>
      <c r="O3995" s="62" t="str">
        <f ca="1" t="shared" si="206"/>
        <v/>
      </c>
      <c r="P3995" s="62"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5" t="s">
        <v>150</v>
      </c>
      <c r="C3996" s="70">
        <v>45928</v>
      </c>
      <c r="D3996" s="40" t="str">
        <f>VLOOKUP(B3996,辅助信息!E:K,7,FALSE)</f>
        <v>JWDDCD2025050800101</v>
      </c>
      <c r="E3996" s="40" t="str">
        <f>VLOOKUP(F3996,辅助信息!A:B,2,FALSE)</f>
        <v>盘螺</v>
      </c>
      <c r="F3996" s="40" t="s">
        <v>41</v>
      </c>
      <c r="G3996" s="36">
        <v>10</v>
      </c>
      <c r="H3996" s="134"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09" t="str">
        <f>VLOOKUP(B3996,辅助信息!E:J,6,FALSE)</f>
        <v>装货前联系收货人核实到场规格，货物最下面用方木垫下方便卸货</v>
      </c>
      <c r="O3996" s="62" t="str">
        <f ca="1" t="shared" si="206"/>
        <v/>
      </c>
      <c r="P3996" s="62"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5" t="s">
        <v>150</v>
      </c>
      <c r="C3997" s="70">
        <v>45928</v>
      </c>
      <c r="D3997" s="40" t="str">
        <f>VLOOKUP(B3997,辅助信息!E:K,7,FALSE)</f>
        <v>JWDDCD2025050800101</v>
      </c>
      <c r="E3997" s="40" t="str">
        <f>VLOOKUP(F3997,辅助信息!A:B,2,FALSE)</f>
        <v>盘螺</v>
      </c>
      <c r="F3997" s="40" t="s">
        <v>26</v>
      </c>
      <c r="G3997" s="36">
        <v>25</v>
      </c>
      <c r="H3997" s="134"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09" t="str">
        <f>VLOOKUP(B3997,辅助信息!E:J,6,FALSE)</f>
        <v>装货前联系收货人核实到场规格，货物最下面用方木垫下方便卸货</v>
      </c>
      <c r="O3997" s="62" t="str">
        <f ca="1" t="shared" si="206"/>
        <v/>
      </c>
      <c r="P3997" s="62"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6" t="s">
        <v>81</v>
      </c>
      <c r="C3998" s="70">
        <v>45929</v>
      </c>
      <c r="D3998" s="120" t="str">
        <f>VLOOKUP(B3998,辅助信息!E:K,7,FALSE)</f>
        <v>JWDDCD2025060900080</v>
      </c>
      <c r="E3998" s="120" t="str">
        <f>VLOOKUP(F3998,辅助信息!A:B,2,FALSE)</f>
        <v>螺纹钢</v>
      </c>
      <c r="F3998" s="120" t="s">
        <v>19</v>
      </c>
      <c r="G3998" s="121">
        <v>30</v>
      </c>
      <c r="H3998" s="134">
        <f>IF(SUMIFS('[1]2025年已发货'!$E:$E,'[1]2025年已发货'!$F:$F,C3998,'[1]2025年已发货'!$C:$C,F3998,'[1]2025年已发货'!$G:$G,I3998,'[1]2025年已发货'!$H:$H,J3998)=0,"未发货",SUMIFS('[1]2025年已发货'!$E:$E,'[1]2025年已发货'!$F:$F,C3998,'[1]2025年已发货'!$C:$C,F3998,'[1]2025年已发货'!$G:$G,I3998,'[1]2025年已发货'!$H:$H,J3998))</f>
        <v>30</v>
      </c>
      <c r="I3998" s="120" t="str">
        <f>VLOOKUP(B3998,辅助信息!E:I,3,FALSE)</f>
        <v>（华西简阳西城嘉苑）四川省成都市简阳市简城街道高屋村</v>
      </c>
      <c r="J3998" s="120" t="str">
        <f>VLOOKUP(B3998,辅助信息!E:I,4,FALSE)</f>
        <v>张瀚镭</v>
      </c>
      <c r="K3998" s="120">
        <f>VLOOKUP(J3998,辅助信息!H:I,2,FALSE)</f>
        <v>15884666220</v>
      </c>
      <c r="L3998" s="122" t="str">
        <f>VLOOKUP(B3998,辅助信息!E:J,6,FALSE)</f>
        <v>现场禁止使用氢能源挂车！优先威钢发货,我方卸车,新老国标钢厂不加价可直发，因陕钢多次出现磅差，项目拒绝使用</v>
      </c>
      <c r="M3998" s="148">
        <v>45929</v>
      </c>
      <c r="O3998" s="62">
        <f ca="1" t="shared" si="206"/>
        <v>0</v>
      </c>
      <c r="P3998" s="62">
        <f ca="1" t="shared" si="207"/>
        <v>31</v>
      </c>
      <c r="Q3998" s="29" t="str">
        <f>VLOOKUP(B3998,辅助信息!E:M,9,FALSE)</f>
        <v>ZTWM-CDGS-XS-2024-0030-华西集采-简州大道</v>
      </c>
      <c r="R3998" s="29" t="str">
        <f>_xlfn._xlws.FILTER(辅助信息!D:D,辅助信息!E:E=B3998)</f>
        <v>华西简阳西城嘉苑</v>
      </c>
    </row>
    <row r="3999" hidden="1" spans="2:18">
      <c r="B3999" s="136" t="s">
        <v>81</v>
      </c>
      <c r="C3999" s="70">
        <v>45929</v>
      </c>
      <c r="D3999" s="120" t="str">
        <f>VLOOKUP(B3999,辅助信息!E:K,7,FALSE)</f>
        <v>JWDDCD2025060900080</v>
      </c>
      <c r="E3999" s="120" t="str">
        <f>VLOOKUP(F3999,辅助信息!A:B,2,FALSE)</f>
        <v>螺纹钢</v>
      </c>
      <c r="F3999" s="120" t="s">
        <v>32</v>
      </c>
      <c r="G3999" s="121">
        <v>50</v>
      </c>
      <c r="H3999" s="134">
        <f>IF(SUMIFS('[1]2025年已发货'!$E:$E,'[1]2025年已发货'!$F:$F,C3999,'[1]2025年已发货'!$C:$C,F3999,'[1]2025年已发货'!$G:$G,I3999,'[1]2025年已发货'!$H:$H,J3999)=0,"未发货",SUMIFS('[1]2025年已发货'!$E:$E,'[1]2025年已发货'!$F:$F,C3999,'[1]2025年已发货'!$C:$C,F3999,'[1]2025年已发货'!$G:$G,I3999,'[1]2025年已发货'!$H:$H,J3999))</f>
        <v>45</v>
      </c>
      <c r="I3999" s="120" t="str">
        <f>VLOOKUP(B3999,辅助信息!E:I,3,FALSE)</f>
        <v>（华西简阳西城嘉苑）四川省成都市简阳市简城街道高屋村</v>
      </c>
      <c r="J3999" s="120" t="str">
        <f>VLOOKUP(B3999,辅助信息!E:I,4,FALSE)</f>
        <v>张瀚镭</v>
      </c>
      <c r="K3999" s="120">
        <f>VLOOKUP(J3999,辅助信息!H:I,2,FALSE)</f>
        <v>15884666220</v>
      </c>
      <c r="L3999" s="122" t="str">
        <f>VLOOKUP(B3999,辅助信息!E:J,6,FALSE)</f>
        <v>现场禁止使用氢能源挂车！优先威钢发货,我方卸车,新老国标钢厂不加价可直发，因陕钢多次出现磅差，项目拒绝使用</v>
      </c>
      <c r="M3999" s="148">
        <v>45929</v>
      </c>
      <c r="O3999" s="62">
        <f ca="1" t="shared" si="206"/>
        <v>0</v>
      </c>
      <c r="P3999" s="62">
        <f ca="1" t="shared" si="207"/>
        <v>31</v>
      </c>
      <c r="Q3999" s="29" t="str">
        <f>VLOOKUP(B3999,辅助信息!E:M,9,FALSE)</f>
        <v>ZTWM-CDGS-XS-2024-0030-华西集采-简州大道</v>
      </c>
      <c r="R3999" s="29" t="str">
        <f>_xlfn._xlws.FILTER(辅助信息!D:D,辅助信息!E:E=B3999)</f>
        <v>华西简阳西城嘉苑</v>
      </c>
    </row>
    <row r="4000" hidden="1" spans="2:18">
      <c r="B4000" s="136" t="s">
        <v>81</v>
      </c>
      <c r="C4000" s="70">
        <v>45929</v>
      </c>
      <c r="D4000" s="120" t="str">
        <f>VLOOKUP(B4000,辅助信息!E:K,7,FALSE)</f>
        <v>JWDDCD2025060900080</v>
      </c>
      <c r="E4000" s="120" t="str">
        <f>VLOOKUP(F4000,辅助信息!A:B,2,FALSE)</f>
        <v>螺纹钢</v>
      </c>
      <c r="F4000" s="120" t="s">
        <v>30</v>
      </c>
      <c r="G4000" s="121">
        <v>18</v>
      </c>
      <c r="H4000" s="134">
        <f>IF(SUMIFS('[1]2025年已发货'!$E:$E,'[1]2025年已发货'!$F:$F,C4000,'[1]2025年已发货'!$C:$C,F4000,'[1]2025年已发货'!$G:$G,I4000,'[1]2025年已发货'!$H:$H,J4000)=0,"未发货",SUMIFS('[1]2025年已发货'!$E:$E,'[1]2025年已发货'!$F:$F,C4000,'[1]2025年已发货'!$C:$C,F4000,'[1]2025年已发货'!$G:$G,I4000,'[1]2025年已发货'!$H:$H,J4000))</f>
        <v>18</v>
      </c>
      <c r="I4000" s="120" t="str">
        <f>VLOOKUP(B4000,辅助信息!E:I,3,FALSE)</f>
        <v>（华西简阳西城嘉苑）四川省成都市简阳市简城街道高屋村</v>
      </c>
      <c r="J4000" s="120" t="str">
        <f>VLOOKUP(B4000,辅助信息!E:I,4,FALSE)</f>
        <v>张瀚镭</v>
      </c>
      <c r="K4000" s="120">
        <f>VLOOKUP(J4000,辅助信息!H:I,2,FALSE)</f>
        <v>15884666220</v>
      </c>
      <c r="L4000" s="122" t="str">
        <f>VLOOKUP(B4000,辅助信息!E:J,6,FALSE)</f>
        <v>现场禁止使用氢能源挂车！优先威钢发货,我方卸车,新老国标钢厂不加价可直发，因陕钢多次出现磅差，项目拒绝使用</v>
      </c>
      <c r="M4000" s="148">
        <v>45929</v>
      </c>
      <c r="O4000" s="62">
        <f ca="1" t="shared" ref="O4000:O4063" si="208">IF(OR(M4000="",N4000&lt;&gt;""),"",MAX(M4000-TODAY(),0))</f>
        <v>0</v>
      </c>
      <c r="P4000" s="62">
        <f ca="1" t="shared" ref="P4000:P4063" si="209">IF(M4000="","",IF(N4000&lt;&gt;"",MAX(N4000-M4000,0),IF(TODAY()&gt;M4000,TODAY()-M4000,0)))</f>
        <v>31</v>
      </c>
      <c r="Q4000" s="29" t="str">
        <f>VLOOKUP(B4000,辅助信息!E:M,9,FALSE)</f>
        <v>ZTWM-CDGS-XS-2024-0030-华西集采-简州大道</v>
      </c>
      <c r="R4000" s="29" t="str">
        <f>_xlfn._xlws.FILTER(辅助信息!D:D,辅助信息!E:E=B4000)</f>
        <v>华西简阳西城嘉苑</v>
      </c>
    </row>
    <row r="4001" hidden="1" spans="2:18">
      <c r="B4001" s="136" t="s">
        <v>81</v>
      </c>
      <c r="C4001" s="70">
        <v>45929</v>
      </c>
      <c r="D4001" s="120" t="str">
        <f>VLOOKUP(B4001,辅助信息!E:K,7,FALSE)</f>
        <v>JWDDCD2025060900080</v>
      </c>
      <c r="E4001" s="120" t="str">
        <f>VLOOKUP(F4001,辅助信息!A:B,2,FALSE)</f>
        <v>螺纹钢</v>
      </c>
      <c r="F4001" s="120" t="s">
        <v>33</v>
      </c>
      <c r="G4001" s="121">
        <v>18</v>
      </c>
      <c r="H4001" s="134">
        <f>IF(SUMIFS('[1]2025年已发货'!$E:$E,'[1]2025年已发货'!$F:$F,C4001,'[1]2025年已发货'!$C:$C,F4001,'[1]2025年已发货'!$G:$G,I4001,'[1]2025年已发货'!$H:$H,J4001)=0,"未发货",SUMIFS('[1]2025年已发货'!$E:$E,'[1]2025年已发货'!$F:$F,C4001,'[1]2025年已发货'!$C:$C,F4001,'[1]2025年已发货'!$G:$G,I4001,'[1]2025年已发货'!$H:$H,J4001))</f>
        <v>18</v>
      </c>
      <c r="I4001" s="120" t="str">
        <f>VLOOKUP(B4001,辅助信息!E:I,3,FALSE)</f>
        <v>（华西简阳西城嘉苑）四川省成都市简阳市简城街道高屋村</v>
      </c>
      <c r="J4001" s="120" t="str">
        <f>VLOOKUP(B4001,辅助信息!E:I,4,FALSE)</f>
        <v>张瀚镭</v>
      </c>
      <c r="K4001" s="120">
        <f>VLOOKUP(J4001,辅助信息!H:I,2,FALSE)</f>
        <v>15884666220</v>
      </c>
      <c r="L4001" s="122" t="str">
        <f>VLOOKUP(B4001,辅助信息!E:J,6,FALSE)</f>
        <v>现场禁止使用氢能源挂车！优先威钢发货,我方卸车,新老国标钢厂不加价可直发，因陕钢多次出现磅差，项目拒绝使用</v>
      </c>
      <c r="M4001" s="148">
        <v>45929</v>
      </c>
      <c r="O4001" s="62">
        <f ca="1" t="shared" si="208"/>
        <v>0</v>
      </c>
      <c r="P4001" s="62">
        <f ca="1" t="shared" si="209"/>
        <v>31</v>
      </c>
      <c r="Q4001" s="29" t="str">
        <f>VLOOKUP(B4001,辅助信息!E:M,9,FALSE)</f>
        <v>ZTWM-CDGS-XS-2024-0030-华西集采-简州大道</v>
      </c>
      <c r="R4001" s="29" t="str">
        <f>_xlfn._xlws.FILTER(辅助信息!D:D,辅助信息!E:E=B4001)</f>
        <v>华西简阳西城嘉苑</v>
      </c>
    </row>
    <row r="4002" hidden="1" spans="2:18">
      <c r="B4002" s="136" t="s">
        <v>81</v>
      </c>
      <c r="C4002" s="70">
        <v>45929</v>
      </c>
      <c r="D4002" s="120" t="str">
        <f>VLOOKUP(B4002,辅助信息!E:K,7,FALSE)</f>
        <v>JWDDCD2025060900080</v>
      </c>
      <c r="E4002" s="120" t="str">
        <f>VLOOKUP(F4002,辅助信息!A:B,2,FALSE)</f>
        <v>螺纹钢</v>
      </c>
      <c r="F4002" s="120" t="s">
        <v>28</v>
      </c>
      <c r="G4002" s="121">
        <v>2.5</v>
      </c>
      <c r="H4002" s="134">
        <f>IF(SUMIFS('[1]2025年已发货'!$E:$E,'[1]2025年已发货'!$F:$F,C4002,'[1]2025年已发货'!$C:$C,F4002,'[1]2025年已发货'!$G:$G,I4002,'[1]2025年已发货'!$H:$H,J4002)=0,"未发货",SUMIFS('[1]2025年已发货'!$E:$E,'[1]2025年已发货'!$F:$F,C4002,'[1]2025年已发货'!$C:$C,F4002,'[1]2025年已发货'!$G:$G,I4002,'[1]2025年已发货'!$H:$H,J4002))</f>
        <v>2.5</v>
      </c>
      <c r="I4002" s="120" t="str">
        <f>VLOOKUP(B4002,辅助信息!E:I,3,FALSE)</f>
        <v>（华西简阳西城嘉苑）四川省成都市简阳市简城街道高屋村</v>
      </c>
      <c r="J4002" s="120" t="str">
        <f>VLOOKUP(B4002,辅助信息!E:I,4,FALSE)</f>
        <v>张瀚镭</v>
      </c>
      <c r="K4002" s="120">
        <f>VLOOKUP(J4002,辅助信息!H:I,2,FALSE)</f>
        <v>15884666220</v>
      </c>
      <c r="L4002" s="122" t="str">
        <f>VLOOKUP(B4002,辅助信息!E:J,6,FALSE)</f>
        <v>现场禁止使用氢能源挂车！优先威钢发货,我方卸车,新老国标钢厂不加价可直发，因陕钢多次出现磅差，项目拒绝使用</v>
      </c>
      <c r="M4002" s="148">
        <v>45929</v>
      </c>
      <c r="O4002" s="62">
        <f ca="1" t="shared" si="208"/>
        <v>0</v>
      </c>
      <c r="P4002" s="62">
        <f ca="1" t="shared" si="209"/>
        <v>31</v>
      </c>
      <c r="Q4002" s="29" t="str">
        <f>VLOOKUP(B4002,辅助信息!E:M,9,FALSE)</f>
        <v>ZTWM-CDGS-XS-2024-0030-华西集采-简州大道</v>
      </c>
      <c r="R4002" s="29" t="str">
        <f>_xlfn._xlws.FILTER(辅助信息!D:D,辅助信息!E:E=B4002)</f>
        <v>华西简阳西城嘉苑</v>
      </c>
    </row>
    <row r="4003" hidden="1" spans="2:18">
      <c r="B4003" s="136" t="s">
        <v>81</v>
      </c>
      <c r="C4003" s="70">
        <v>45929</v>
      </c>
      <c r="D4003" s="120" t="str">
        <f>VLOOKUP(B4003,辅助信息!E:K,7,FALSE)</f>
        <v>JWDDCD2025060900080</v>
      </c>
      <c r="E4003" s="120" t="str">
        <f>VLOOKUP(F4003,辅助信息!A:B,2,FALSE)</f>
        <v>螺纹钢</v>
      </c>
      <c r="F4003" s="120" t="s">
        <v>58</v>
      </c>
      <c r="G4003" s="121">
        <v>21</v>
      </c>
      <c r="H4003" s="134">
        <f>IF(SUMIFS('[1]2025年已发货'!$E:$E,'[1]2025年已发货'!$F:$F,C4003,'[1]2025年已发货'!$C:$C,F4003,'[1]2025年已发货'!$G:$G,I4003,'[1]2025年已发货'!$H:$H,J4003)=0,"未发货",SUMIFS('[1]2025年已发货'!$E:$E,'[1]2025年已发货'!$F:$F,C4003,'[1]2025年已发货'!$C:$C,F4003,'[1]2025年已发货'!$G:$G,I4003,'[1]2025年已发货'!$H:$H,J4003))</f>
        <v>21</v>
      </c>
      <c r="I4003" s="120" t="str">
        <f>VLOOKUP(B4003,辅助信息!E:I,3,FALSE)</f>
        <v>（华西简阳西城嘉苑）四川省成都市简阳市简城街道高屋村</v>
      </c>
      <c r="J4003" s="120" t="str">
        <f>VLOOKUP(B4003,辅助信息!E:I,4,FALSE)</f>
        <v>张瀚镭</v>
      </c>
      <c r="K4003" s="120">
        <f>VLOOKUP(J4003,辅助信息!H:I,2,FALSE)</f>
        <v>15884666220</v>
      </c>
      <c r="L4003" s="122" t="str">
        <f>VLOOKUP(B4003,辅助信息!E:J,6,FALSE)</f>
        <v>现场禁止使用氢能源挂车！优先威钢发货,我方卸车,新老国标钢厂不加价可直发，因陕钢多次出现磅差，项目拒绝使用</v>
      </c>
      <c r="O4003" s="62" t="str">
        <f ca="1" t="shared" si="208"/>
        <v/>
      </c>
      <c r="P4003" s="62" t="str">
        <f ca="1" t="shared" si="209"/>
        <v/>
      </c>
      <c r="Q4003" s="29" t="str">
        <f>VLOOKUP(B4003,辅助信息!E:M,9,FALSE)</f>
        <v>ZTWM-CDGS-XS-2024-0030-华西集采-简州大道</v>
      </c>
      <c r="R4003" s="29" t="str">
        <f>_xlfn._xlws.FILTER(辅助信息!D:D,辅助信息!E:E=B4003)</f>
        <v>华西简阳西城嘉苑</v>
      </c>
    </row>
    <row r="4004" hidden="1" spans="2:18">
      <c r="B4004" s="136" t="s">
        <v>81</v>
      </c>
      <c r="C4004" s="70">
        <v>45929</v>
      </c>
      <c r="D4004" s="120" t="str">
        <f>VLOOKUP(B4004,辅助信息!E:K,7,FALSE)</f>
        <v>JWDDCD2025060900080</v>
      </c>
      <c r="E4004" s="120" t="str">
        <f>VLOOKUP(F4004,辅助信息!A:B,2,FALSE)</f>
        <v>螺纹钢</v>
      </c>
      <c r="F4004" s="120" t="s">
        <v>46</v>
      </c>
      <c r="G4004" s="121">
        <v>8</v>
      </c>
      <c r="H4004" s="134">
        <f>IF(SUMIFS('[1]2025年已发货'!$E:$E,'[1]2025年已发货'!$F:$F,C4004,'[1]2025年已发货'!$C:$C,F4004,'[1]2025年已发货'!$G:$G,I4004,'[1]2025年已发货'!$H:$H,J4004)=0,"未发货",SUMIFS('[1]2025年已发货'!$E:$E,'[1]2025年已发货'!$F:$F,C4004,'[1]2025年已发货'!$C:$C,F4004,'[1]2025年已发货'!$G:$G,I4004,'[1]2025年已发货'!$H:$H,J4004))</f>
        <v>8</v>
      </c>
      <c r="I4004" s="120" t="str">
        <f>VLOOKUP(B4004,辅助信息!E:I,3,FALSE)</f>
        <v>（华西简阳西城嘉苑）四川省成都市简阳市简城街道高屋村</v>
      </c>
      <c r="J4004" s="120" t="str">
        <f>VLOOKUP(B4004,辅助信息!E:I,4,FALSE)</f>
        <v>张瀚镭</v>
      </c>
      <c r="K4004" s="120">
        <f>VLOOKUP(J4004,辅助信息!H:I,2,FALSE)</f>
        <v>15884666220</v>
      </c>
      <c r="L4004" s="122" t="str">
        <f>VLOOKUP(B4004,辅助信息!E:J,6,FALSE)</f>
        <v>现场禁止使用氢能源挂车！优先威钢发货,我方卸车,新老国标钢厂不加价可直发，因陕钢多次出现磅差，项目拒绝使用</v>
      </c>
      <c r="O4004" s="62" t="str">
        <f ca="1" t="shared" si="208"/>
        <v/>
      </c>
      <c r="P4004" s="62" t="str">
        <f ca="1" t="shared" si="209"/>
        <v/>
      </c>
      <c r="Q4004" s="29" t="str">
        <f>VLOOKUP(B4004,辅助信息!E:M,9,FALSE)</f>
        <v>ZTWM-CDGS-XS-2024-0030-华西集采-简州大道</v>
      </c>
      <c r="R4004" s="29" t="str">
        <f>_xlfn._xlws.FILTER(辅助信息!D:D,辅助信息!E:E=B4004)</f>
        <v>华西简阳西城嘉苑</v>
      </c>
    </row>
    <row r="4005" hidden="1" spans="2:18">
      <c r="B4005" s="136" t="s">
        <v>81</v>
      </c>
      <c r="C4005" s="70">
        <v>45929</v>
      </c>
      <c r="D4005" s="120" t="str">
        <f>VLOOKUP(B4005,辅助信息!E:K,7,FALSE)</f>
        <v>JWDDCD2025060900080</v>
      </c>
      <c r="E4005" s="120" t="str">
        <f>VLOOKUP(F4005,辅助信息!A:B,2,FALSE)</f>
        <v>螺纹钢</v>
      </c>
      <c r="F4005" s="120" t="s">
        <v>22</v>
      </c>
      <c r="G4005" s="121">
        <v>30</v>
      </c>
      <c r="H4005" s="134"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0" t="str">
        <f>VLOOKUP(B4005,辅助信息!E:I,3,FALSE)</f>
        <v>（华西简阳西城嘉苑）四川省成都市简阳市简城街道高屋村</v>
      </c>
      <c r="J4005" s="120" t="str">
        <f>VLOOKUP(B4005,辅助信息!E:I,4,FALSE)</f>
        <v>张瀚镭</v>
      </c>
      <c r="K4005" s="120">
        <f>VLOOKUP(J4005,辅助信息!H:I,2,FALSE)</f>
        <v>15884666220</v>
      </c>
      <c r="L4005" s="122" t="str">
        <f>VLOOKUP(B4005,辅助信息!E:J,6,FALSE)</f>
        <v>现场禁止使用氢能源挂车！优先威钢发货,我方卸车,新老国标钢厂不加价可直发，因陕钢多次出现磅差，项目拒绝使用</v>
      </c>
      <c r="O4005" s="62" t="str">
        <f ca="1" t="shared" si="208"/>
        <v/>
      </c>
      <c r="P4005" s="62" t="str">
        <f ca="1" t="shared" si="209"/>
        <v/>
      </c>
      <c r="Q4005" s="29" t="str">
        <f>VLOOKUP(B4005,辅助信息!E:M,9,FALSE)</f>
        <v>ZTWM-CDGS-XS-2024-0030-华西集采-简州大道</v>
      </c>
      <c r="R4005" s="29" t="str">
        <f>_xlfn._xlws.FILTER(辅助信息!D:D,辅助信息!E:E=B4005)</f>
        <v>华西简阳西城嘉苑</v>
      </c>
    </row>
    <row r="4006" hidden="1" spans="2:18">
      <c r="B4006" s="136" t="s">
        <v>81</v>
      </c>
      <c r="C4006" s="70">
        <v>45929</v>
      </c>
      <c r="D4006" s="120" t="str">
        <f>VLOOKUP(B4006,辅助信息!E:K,7,FALSE)</f>
        <v>JWDDCD2025060900080</v>
      </c>
      <c r="E4006" s="120" t="str">
        <f>VLOOKUP(F4006,辅助信息!A:B,2,FALSE)</f>
        <v>盘螺</v>
      </c>
      <c r="F4006" s="120" t="s">
        <v>41</v>
      </c>
      <c r="G4006" s="121">
        <f>125-70</f>
        <v>55</v>
      </c>
      <c r="H4006" s="134">
        <f>IF(SUMIFS('[1]2025年已发货'!$E:$E,'[1]2025年已发货'!$F:$F,C4006,'[1]2025年已发货'!$C:$C,F4006,'[1]2025年已发货'!$G:$G,I4006,'[1]2025年已发货'!$H:$H,J4006)=0,"未发货",SUMIFS('[1]2025年已发货'!$E:$E,'[1]2025年已发货'!$F:$F,C4006,'[1]2025年已发货'!$C:$C,F4006,'[1]2025年已发货'!$G:$G,I4006,'[1]2025年已发货'!$H:$H,J4006))</f>
        <v>35</v>
      </c>
      <c r="I4006" s="120" t="str">
        <f>VLOOKUP(B4006,辅助信息!E:I,3,FALSE)</f>
        <v>（华西简阳西城嘉苑）四川省成都市简阳市简城街道高屋村</v>
      </c>
      <c r="J4006" s="120" t="str">
        <f>VLOOKUP(B4006,辅助信息!E:I,4,FALSE)</f>
        <v>张瀚镭</v>
      </c>
      <c r="K4006" s="120">
        <f>VLOOKUP(J4006,辅助信息!H:I,2,FALSE)</f>
        <v>15884666220</v>
      </c>
      <c r="L4006" s="122" t="str">
        <f>VLOOKUP(B4006,辅助信息!E:J,6,FALSE)</f>
        <v>现场禁止使用氢能源挂车！优先威钢发货,我方卸车,新老国标钢厂不加价可直发，因陕钢多次出现磅差，项目拒绝使用</v>
      </c>
      <c r="O4006" s="62" t="str">
        <f ca="1" t="shared" si="208"/>
        <v/>
      </c>
      <c r="P4006" s="62" t="str">
        <f ca="1" t="shared" si="209"/>
        <v/>
      </c>
      <c r="Q4006" s="29" t="str">
        <f>VLOOKUP(B4006,辅助信息!E:M,9,FALSE)</f>
        <v>ZTWM-CDGS-XS-2024-0030-华西集采-简州大道</v>
      </c>
      <c r="R4006" s="29" t="str">
        <f>_xlfn._xlws.FILTER(辅助信息!D:D,辅助信息!E:E=B4006)</f>
        <v>华西简阳西城嘉苑</v>
      </c>
    </row>
    <row r="4007" hidden="1" spans="2:18">
      <c r="B4007" s="136" t="s">
        <v>81</v>
      </c>
      <c r="C4007" s="70">
        <v>45929</v>
      </c>
      <c r="D4007" s="120" t="str">
        <f>VLOOKUP(B4007,辅助信息!E:K,7,FALSE)</f>
        <v>JWDDCD2025060900080</v>
      </c>
      <c r="E4007" s="120" t="str">
        <f>VLOOKUP(F4007,辅助信息!A:B,2,FALSE)</f>
        <v>盘螺</v>
      </c>
      <c r="F4007" s="120" t="s">
        <v>26</v>
      </c>
      <c r="G4007" s="121">
        <v>10</v>
      </c>
      <c r="H4007" s="134"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0" t="str">
        <f>VLOOKUP(B4007,辅助信息!E:I,3,FALSE)</f>
        <v>（华西简阳西城嘉苑）四川省成都市简阳市简城街道高屋村</v>
      </c>
      <c r="J4007" s="120" t="str">
        <f>VLOOKUP(B4007,辅助信息!E:I,4,FALSE)</f>
        <v>张瀚镭</v>
      </c>
      <c r="K4007" s="120">
        <f>VLOOKUP(J4007,辅助信息!H:I,2,FALSE)</f>
        <v>15884666220</v>
      </c>
      <c r="L4007" s="122" t="str">
        <f>VLOOKUP(B4007,辅助信息!E:J,6,FALSE)</f>
        <v>现场禁止使用氢能源挂车！优先威钢发货,我方卸车,新老国标钢厂不加价可直发，因陕钢多次出现磅差，项目拒绝使用</v>
      </c>
      <c r="O4007" s="62" t="str">
        <f ca="1" t="shared" si="208"/>
        <v/>
      </c>
      <c r="P4007" s="62" t="str">
        <f ca="1" t="shared" si="209"/>
        <v/>
      </c>
      <c r="Q4007" s="29" t="str">
        <f>VLOOKUP(B4007,辅助信息!E:M,9,FALSE)</f>
        <v>ZTWM-CDGS-XS-2024-0030-华西集采-简州大道</v>
      </c>
      <c r="R4007" s="29" t="str">
        <f>_xlfn._xlws.FILTER(辅助信息!D:D,辅助信息!E:E=B4007)</f>
        <v>华西简阳西城嘉苑</v>
      </c>
    </row>
    <row r="4008" hidden="1" spans="2:18">
      <c r="B4008" s="136" t="s">
        <v>81</v>
      </c>
      <c r="C4008" s="70">
        <v>45929</v>
      </c>
      <c r="D4008" s="120" t="str">
        <f>VLOOKUP(B4008,辅助信息!E:K,7,FALSE)</f>
        <v>JWDDCD2025060900080</v>
      </c>
      <c r="E4008" s="120" t="str">
        <f>VLOOKUP(F4008,辅助信息!A:B,2,FALSE)</f>
        <v>盘螺</v>
      </c>
      <c r="F4008" s="120" t="s">
        <v>49</v>
      </c>
      <c r="G4008" s="121">
        <v>25</v>
      </c>
      <c r="H4008" s="134"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0" t="str">
        <f>VLOOKUP(B4008,辅助信息!E:I,3,FALSE)</f>
        <v>（华西简阳西城嘉苑）四川省成都市简阳市简城街道高屋村</v>
      </c>
      <c r="J4008" s="120" t="str">
        <f>VLOOKUP(B4008,辅助信息!E:I,4,FALSE)</f>
        <v>张瀚镭</v>
      </c>
      <c r="K4008" s="120">
        <f>VLOOKUP(J4008,辅助信息!H:I,2,FALSE)</f>
        <v>15884666220</v>
      </c>
      <c r="L4008" s="122" t="str">
        <f>VLOOKUP(B4008,辅助信息!E:J,6,FALSE)</f>
        <v>现场禁止使用氢能源挂车！优先威钢发货,我方卸车,新老国标钢厂不加价可直发，因陕钢多次出现磅差，项目拒绝使用</v>
      </c>
      <c r="O4008" s="62" t="str">
        <f ca="1" t="shared" si="208"/>
        <v/>
      </c>
      <c r="P4008" s="62" t="str">
        <f ca="1" t="shared" si="209"/>
        <v/>
      </c>
      <c r="Q4008" s="29" t="str">
        <f>VLOOKUP(B4008,辅助信息!E:M,9,FALSE)</f>
        <v>ZTWM-CDGS-XS-2024-0030-华西集采-简州大道</v>
      </c>
      <c r="R4008" s="29" t="str">
        <f>_xlfn._xlws.FILTER(辅助信息!D:D,辅助信息!E:E=B4008)</f>
        <v>华西简阳西城嘉苑</v>
      </c>
    </row>
    <row r="4009" hidden="1" spans="2:18">
      <c r="B4009" s="136" t="s">
        <v>81</v>
      </c>
      <c r="C4009" s="70">
        <v>45929</v>
      </c>
      <c r="D4009" s="120" t="str">
        <f>VLOOKUP(B4009,辅助信息!E:K,7,FALSE)</f>
        <v>JWDDCD2025060900080</v>
      </c>
      <c r="E4009" s="120" t="str">
        <f>VLOOKUP(F4009,辅助信息!A:B,2,FALSE)</f>
        <v>盘螺</v>
      </c>
      <c r="F4009" s="120" t="s">
        <v>40</v>
      </c>
      <c r="G4009" s="121">
        <v>10</v>
      </c>
      <c r="H4009" s="134"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0" t="str">
        <f>VLOOKUP(B4009,辅助信息!E:I,3,FALSE)</f>
        <v>（华西简阳西城嘉苑）四川省成都市简阳市简城街道高屋村</v>
      </c>
      <c r="J4009" s="120" t="str">
        <f>VLOOKUP(B4009,辅助信息!E:I,4,FALSE)</f>
        <v>张瀚镭</v>
      </c>
      <c r="K4009" s="120">
        <f>VLOOKUP(J4009,辅助信息!H:I,2,FALSE)</f>
        <v>15884666220</v>
      </c>
      <c r="L4009" s="122" t="str">
        <f>VLOOKUP(B4009,辅助信息!E:J,6,FALSE)</f>
        <v>现场禁止使用氢能源挂车！优先威钢发货,我方卸车,新老国标钢厂不加价可直发，因陕钢多次出现磅差，项目拒绝使用</v>
      </c>
      <c r="M4009" s="148">
        <v>45929</v>
      </c>
      <c r="O4009" s="62">
        <f ca="1" t="shared" si="208"/>
        <v>0</v>
      </c>
      <c r="P4009" s="62">
        <f ca="1" t="shared" si="209"/>
        <v>31</v>
      </c>
      <c r="Q4009" s="29" t="str">
        <f>VLOOKUP(B4009,辅助信息!E:M,9,FALSE)</f>
        <v>ZTWM-CDGS-XS-2024-0030-华西集采-简州大道</v>
      </c>
      <c r="R4009" s="29" t="str">
        <f>_xlfn._xlws.FILTER(辅助信息!D:D,辅助信息!E:E=B4009)</f>
        <v>华西简阳西城嘉苑</v>
      </c>
    </row>
    <row r="4010" hidden="1" spans="2:18">
      <c r="B4010" s="136" t="s">
        <v>186</v>
      </c>
      <c r="C4010" s="70">
        <v>45929</v>
      </c>
      <c r="D4010" s="120" t="str">
        <f>VLOOKUP(B4010,辅助信息!E:K,7,FALSE)</f>
        <v>JWDDCD2025072900123</v>
      </c>
      <c r="E4010" s="120" t="str">
        <f>VLOOKUP(F4010,辅助信息!A:B,2,FALSE)</f>
        <v>螺纹钢</v>
      </c>
      <c r="F4010" s="120" t="s">
        <v>111</v>
      </c>
      <c r="G4010" s="121">
        <v>35</v>
      </c>
      <c r="H4010" s="134">
        <f>IF(SUMIFS('[1]2025年已发货'!$E:$E,'[1]2025年已发货'!$F:$F,C4010,'[1]2025年已发货'!$C:$C,F4010,'[1]2025年已发货'!$G:$G,I4010,'[1]2025年已发货'!$H:$H,J4010)=0,"未发货",SUMIFS('[1]2025年已发货'!$E:$E,'[1]2025年已发货'!$F:$F,C4010,'[1]2025年已发货'!$C:$C,F4010,'[1]2025年已发货'!$G:$G,I4010,'[1]2025年已发货'!$H:$H,J4010))</f>
        <v>35</v>
      </c>
      <c r="I4010" s="120" t="str">
        <f>VLOOKUP(B4010,辅助信息!E:I,3,FALSE)</f>
        <v>(乐山市校地共建产教融合基地建设项目二标段)四川省乐山市市中区苏稽镇</v>
      </c>
      <c r="J4010" s="120" t="str">
        <f>VLOOKUP(B4010,辅助信息!E:I,4,FALSE)</f>
        <v>彭江涛</v>
      </c>
      <c r="K4010" s="120">
        <f>VLOOKUP(J4010,辅助信息!H:I,2,FALSE)</f>
        <v>13990276572</v>
      </c>
      <c r="L4010" s="122" t="str">
        <f>VLOOKUP(B4010,辅助信息!E:J,6,FALSE)</f>
        <v>联系实际收货人（彭江涛13990276572）现场要求炉批号控制2个以下，超2个不给予签收。提前联系到场规格及数量</v>
      </c>
      <c r="M4010" s="148">
        <v>45929</v>
      </c>
      <c r="O4010" s="62">
        <f ca="1" t="shared" si="208"/>
        <v>0</v>
      </c>
      <c r="P4010" s="62">
        <f ca="1" t="shared" si="209"/>
        <v>31</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6" t="s">
        <v>186</v>
      </c>
      <c r="C4011" s="70">
        <v>45929</v>
      </c>
      <c r="D4011" s="120" t="str">
        <f>VLOOKUP(B4011,辅助信息!E:K,7,FALSE)</f>
        <v>JWDDCD2025072900123</v>
      </c>
      <c r="E4011" s="120" t="str">
        <f>VLOOKUP(F4011,辅助信息!A:B,2,FALSE)</f>
        <v>螺纹钢</v>
      </c>
      <c r="F4011" s="120" t="s">
        <v>76</v>
      </c>
      <c r="G4011" s="121">
        <v>35</v>
      </c>
      <c r="H4011" s="134">
        <f>IF(SUMIFS('[1]2025年已发货'!$E:$E,'[1]2025年已发货'!$F:$F,C4011,'[1]2025年已发货'!$C:$C,F4011,'[1]2025年已发货'!$G:$G,I4011,'[1]2025年已发货'!$H:$H,J4011)=0,"未发货",SUMIFS('[1]2025年已发货'!$E:$E,'[1]2025年已发货'!$F:$F,C4011,'[1]2025年已发货'!$C:$C,F4011,'[1]2025年已发货'!$G:$G,I4011,'[1]2025年已发货'!$H:$H,J4011))</f>
        <v>35</v>
      </c>
      <c r="I4011" s="120" t="str">
        <f>VLOOKUP(B4011,辅助信息!E:I,3,FALSE)</f>
        <v>(乐山市校地共建产教融合基地建设项目二标段)四川省乐山市市中区苏稽镇</v>
      </c>
      <c r="J4011" s="120" t="str">
        <f>VLOOKUP(B4011,辅助信息!E:I,4,FALSE)</f>
        <v>彭江涛</v>
      </c>
      <c r="K4011" s="120">
        <f>VLOOKUP(J4011,辅助信息!H:I,2,FALSE)</f>
        <v>13990276572</v>
      </c>
      <c r="L4011" s="122" t="str">
        <f>VLOOKUP(B4011,辅助信息!E:J,6,FALSE)</f>
        <v>联系实际收货人（彭江涛13990276572）现场要求炉批号控制2个以下，超2个不给予签收。提前联系到场规格及数量</v>
      </c>
      <c r="M4011" s="148">
        <v>45929</v>
      </c>
      <c r="O4011" s="62">
        <f ca="1" t="shared" si="208"/>
        <v>0</v>
      </c>
      <c r="P4011" s="62">
        <f ca="1" t="shared" si="209"/>
        <v>31</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6" t="s">
        <v>186</v>
      </c>
      <c r="C4012" s="70">
        <v>45929</v>
      </c>
      <c r="D4012" s="120" t="str">
        <f>VLOOKUP(B4012,辅助信息!E:K,7,FALSE)</f>
        <v>JWDDCD2025072900123</v>
      </c>
      <c r="E4012" s="120" t="str">
        <f>VLOOKUP(F4012,辅助信息!A:B,2,FALSE)</f>
        <v>螺纹钢</v>
      </c>
      <c r="F4012" s="120" t="s">
        <v>197</v>
      </c>
      <c r="G4012" s="121">
        <v>18</v>
      </c>
      <c r="H4012" s="134">
        <f>IF(SUMIFS('[1]2025年已发货'!$E:$E,'[1]2025年已发货'!$F:$F,C4012,'[1]2025年已发货'!$C:$C,F4012,'[1]2025年已发货'!$G:$G,I4012,'[1]2025年已发货'!$H:$H,J4012)=0,"未发货",SUMIFS('[1]2025年已发货'!$E:$E,'[1]2025年已发货'!$F:$F,C4012,'[1]2025年已发货'!$C:$C,F4012,'[1]2025年已发货'!$G:$G,I4012,'[1]2025年已发货'!$H:$H,J4012))</f>
        <v>18</v>
      </c>
      <c r="I4012" s="120" t="str">
        <f>VLOOKUP(B4012,辅助信息!E:I,3,FALSE)</f>
        <v>(乐山市校地共建产教融合基地建设项目二标段)四川省乐山市市中区苏稽镇</v>
      </c>
      <c r="J4012" s="120" t="str">
        <f>VLOOKUP(B4012,辅助信息!E:I,4,FALSE)</f>
        <v>彭江涛</v>
      </c>
      <c r="K4012" s="120">
        <f>VLOOKUP(J4012,辅助信息!H:I,2,FALSE)</f>
        <v>13990276572</v>
      </c>
      <c r="L4012" s="122" t="str">
        <f>VLOOKUP(B4012,辅助信息!E:J,6,FALSE)</f>
        <v>联系实际收货人（彭江涛13990276572）现场要求炉批号控制2个以下，超2个不给予签收。提前联系到场规格及数量</v>
      </c>
      <c r="M4012" s="148">
        <v>45929</v>
      </c>
      <c r="O4012" s="62">
        <f ca="1" t="shared" si="208"/>
        <v>0</v>
      </c>
      <c r="P4012" s="62">
        <f ca="1" t="shared" si="209"/>
        <v>31</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6" t="s">
        <v>186</v>
      </c>
      <c r="C4013" s="70">
        <v>45929</v>
      </c>
      <c r="D4013" s="120" t="str">
        <f>VLOOKUP(B4013,辅助信息!E:K,7,FALSE)</f>
        <v>JWDDCD2025072900123</v>
      </c>
      <c r="E4013" s="120" t="str">
        <f>VLOOKUP(F4013,辅助信息!A:B,2,FALSE)</f>
        <v>螺纹钢</v>
      </c>
      <c r="F4013" s="120" t="s">
        <v>198</v>
      </c>
      <c r="G4013" s="121">
        <v>18</v>
      </c>
      <c r="H4013" s="134">
        <f>IF(SUMIFS('[1]2025年已发货'!$E:$E,'[1]2025年已发货'!$F:$F,C4013,'[1]2025年已发货'!$C:$C,F4013,'[1]2025年已发货'!$G:$G,I4013,'[1]2025年已发货'!$H:$H,J4013)=0,"未发货",SUMIFS('[1]2025年已发货'!$E:$E,'[1]2025年已发货'!$F:$F,C4013,'[1]2025年已发货'!$C:$C,F4013,'[1]2025年已发货'!$G:$G,I4013,'[1]2025年已发货'!$H:$H,J4013))</f>
        <v>18</v>
      </c>
      <c r="I4013" s="120" t="str">
        <f>VLOOKUP(B4013,辅助信息!E:I,3,FALSE)</f>
        <v>(乐山市校地共建产教融合基地建设项目二标段)四川省乐山市市中区苏稽镇</v>
      </c>
      <c r="J4013" s="120" t="str">
        <f>VLOOKUP(B4013,辅助信息!E:I,4,FALSE)</f>
        <v>彭江涛</v>
      </c>
      <c r="K4013" s="120">
        <f>VLOOKUP(J4013,辅助信息!H:I,2,FALSE)</f>
        <v>13990276572</v>
      </c>
      <c r="L4013" s="122" t="str">
        <f>VLOOKUP(B4013,辅助信息!E:J,6,FALSE)</f>
        <v>联系实际收货人（彭江涛13990276572）现场要求炉批号控制2个以下，超2个不给予签收。提前联系到场规格及数量</v>
      </c>
      <c r="M4013" s="148"/>
      <c r="O4013" s="62" t="str">
        <f ca="1" t="shared" si="208"/>
        <v/>
      </c>
      <c r="P4013" s="62"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6" t="s">
        <v>186</v>
      </c>
      <c r="C4014" s="70">
        <v>45929</v>
      </c>
      <c r="D4014" s="120" t="str">
        <f>VLOOKUP(B4014,辅助信息!E:K,7,FALSE)</f>
        <v>JWDDCD2025072900123</v>
      </c>
      <c r="E4014" s="120" t="str">
        <f>VLOOKUP(F4014,辅助信息!A:B,2,FALSE)</f>
        <v>螺纹钢</v>
      </c>
      <c r="F4014" s="120" t="s">
        <v>199</v>
      </c>
      <c r="G4014" s="121">
        <v>18</v>
      </c>
      <c r="H4014" s="134">
        <f>IF(SUMIFS('[1]2025年已发货'!$E:$E,'[1]2025年已发货'!$F:$F,C4014,'[1]2025年已发货'!$C:$C,F4014,'[1]2025年已发货'!$G:$G,I4014,'[1]2025年已发货'!$H:$H,J4014)=0,"未发货",SUMIFS('[1]2025年已发货'!$E:$E,'[1]2025年已发货'!$F:$F,C4014,'[1]2025年已发货'!$C:$C,F4014,'[1]2025年已发货'!$G:$G,I4014,'[1]2025年已发货'!$H:$H,J4014))</f>
        <v>18</v>
      </c>
      <c r="I4014" s="120" t="str">
        <f>VLOOKUP(B4014,辅助信息!E:I,3,FALSE)</f>
        <v>(乐山市校地共建产教融合基地建设项目二标段)四川省乐山市市中区苏稽镇</v>
      </c>
      <c r="J4014" s="120" t="str">
        <f>VLOOKUP(B4014,辅助信息!E:I,4,FALSE)</f>
        <v>彭江涛</v>
      </c>
      <c r="K4014" s="120">
        <f>VLOOKUP(J4014,辅助信息!H:I,2,FALSE)</f>
        <v>13990276572</v>
      </c>
      <c r="L4014" s="122" t="str">
        <f>VLOOKUP(B4014,辅助信息!E:J,6,FALSE)</f>
        <v>联系实际收货人（彭江涛13990276572）现场要求炉批号控制2个以下，超2个不给予签收。提前联系到场规格及数量</v>
      </c>
      <c r="M4014" s="148">
        <v>45929</v>
      </c>
      <c r="O4014" s="62">
        <f ca="1" t="shared" si="208"/>
        <v>0</v>
      </c>
      <c r="P4014" s="62">
        <f ca="1" t="shared" si="209"/>
        <v>31</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6" t="s">
        <v>186</v>
      </c>
      <c r="C4015" s="70">
        <v>45929</v>
      </c>
      <c r="D4015" s="120" t="str">
        <f>VLOOKUP(B4015,辅助信息!E:K,7,FALSE)</f>
        <v>JWDDCD2025072900123</v>
      </c>
      <c r="E4015" s="120" t="str">
        <f>VLOOKUP(F4015,辅助信息!A:B,2,FALSE)</f>
        <v>螺纹钢</v>
      </c>
      <c r="F4015" s="120" t="s">
        <v>141</v>
      </c>
      <c r="G4015" s="121">
        <v>8</v>
      </c>
      <c r="H4015" s="134">
        <f>IF(SUMIFS('[1]2025年已发货'!$E:$E,'[1]2025年已发货'!$F:$F,C4015,'[1]2025年已发货'!$C:$C,F4015,'[1]2025年已发货'!$G:$G,I4015,'[1]2025年已发货'!$H:$H,J4015)=0,"未发货",SUMIFS('[1]2025年已发货'!$E:$E,'[1]2025年已发货'!$F:$F,C4015,'[1]2025年已发货'!$C:$C,F4015,'[1]2025年已发货'!$G:$G,I4015,'[1]2025年已发货'!$H:$H,J4015))</f>
        <v>8</v>
      </c>
      <c r="I4015" s="120" t="str">
        <f>VLOOKUP(B4015,辅助信息!E:I,3,FALSE)</f>
        <v>(乐山市校地共建产教融合基地建设项目二标段)四川省乐山市市中区苏稽镇</v>
      </c>
      <c r="J4015" s="120" t="str">
        <f>VLOOKUP(B4015,辅助信息!E:I,4,FALSE)</f>
        <v>彭江涛</v>
      </c>
      <c r="K4015" s="120">
        <f>VLOOKUP(J4015,辅助信息!H:I,2,FALSE)</f>
        <v>13990276572</v>
      </c>
      <c r="L4015" s="122" t="str">
        <f>VLOOKUP(B4015,辅助信息!E:J,6,FALSE)</f>
        <v>联系实际收货人（彭江涛13990276572）现场要求炉批号控制2个以下，超2个不给予签收。提前联系到场规格及数量</v>
      </c>
      <c r="M4015" s="148">
        <v>45929</v>
      </c>
      <c r="O4015" s="62">
        <f ca="1" t="shared" si="208"/>
        <v>0</v>
      </c>
      <c r="P4015" s="62">
        <f ca="1" t="shared" si="209"/>
        <v>31</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6" t="s">
        <v>186</v>
      </c>
      <c r="C4016" s="70">
        <v>45929</v>
      </c>
      <c r="D4016" s="120" t="str">
        <f>VLOOKUP(B4016,辅助信息!E:K,7,FALSE)</f>
        <v>JWDDCD2025072900123</v>
      </c>
      <c r="E4016" s="120" t="str">
        <f>VLOOKUP(F4016,辅助信息!A:B,2,FALSE)</f>
        <v>螺纹钢</v>
      </c>
      <c r="F4016" s="120" t="s">
        <v>22</v>
      </c>
      <c r="G4016" s="121">
        <v>35</v>
      </c>
      <c r="H4016" s="134">
        <f>IF(SUMIFS('[1]2025年已发货'!$E:$E,'[1]2025年已发货'!$F:$F,C4016,'[1]2025年已发货'!$C:$C,F4016,'[1]2025年已发货'!$G:$G,I4016,'[1]2025年已发货'!$H:$H,J4016)=0,"未发货",SUMIFS('[1]2025年已发货'!$E:$E,'[1]2025年已发货'!$F:$F,C4016,'[1]2025年已发货'!$C:$C,F4016,'[1]2025年已发货'!$G:$G,I4016,'[1]2025年已发货'!$H:$H,J4016))</f>
        <v>35</v>
      </c>
      <c r="I4016" s="120" t="str">
        <f>VLOOKUP(B4016,辅助信息!E:I,3,FALSE)</f>
        <v>(乐山市校地共建产教融合基地建设项目二标段)四川省乐山市市中区苏稽镇</v>
      </c>
      <c r="J4016" s="120" t="str">
        <f>VLOOKUP(B4016,辅助信息!E:I,4,FALSE)</f>
        <v>彭江涛</v>
      </c>
      <c r="K4016" s="120">
        <f>VLOOKUP(J4016,辅助信息!H:I,2,FALSE)</f>
        <v>13990276572</v>
      </c>
      <c r="L4016" s="122" t="str">
        <f>VLOOKUP(B4016,辅助信息!E:J,6,FALSE)</f>
        <v>联系实际收货人（彭江涛13990276572）现场要求炉批号控制2个以下，超2个不给予签收。提前联系到场规格及数量</v>
      </c>
      <c r="M4016" s="148">
        <v>45929</v>
      </c>
      <c r="O4016" s="62">
        <f ca="1" t="shared" si="208"/>
        <v>0</v>
      </c>
      <c r="P4016" s="62">
        <f ca="1" t="shared" si="209"/>
        <v>31</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6" t="s">
        <v>186</v>
      </c>
      <c r="C4017" s="70">
        <v>45929</v>
      </c>
      <c r="D4017" s="120" t="str">
        <f>VLOOKUP(B4017,辅助信息!E:K,7,FALSE)</f>
        <v>JWDDCD2025072900123</v>
      </c>
      <c r="E4017" s="120" t="str">
        <f>VLOOKUP(F4017,辅助信息!A:B,2,FALSE)</f>
        <v>螺纹钢</v>
      </c>
      <c r="F4017" s="120" t="s">
        <v>142</v>
      </c>
      <c r="G4017" s="121">
        <v>35</v>
      </c>
      <c r="H4017" s="134">
        <f>IF(SUMIFS('[1]2025年已发货'!$E:$E,'[1]2025年已发货'!$F:$F,C4017,'[1]2025年已发货'!$C:$C,F4017,'[1]2025年已发货'!$G:$G,I4017,'[1]2025年已发货'!$H:$H,J4017)=0,"未发货",SUMIFS('[1]2025年已发货'!$E:$E,'[1]2025年已发货'!$F:$F,C4017,'[1]2025年已发货'!$C:$C,F4017,'[1]2025年已发货'!$G:$G,I4017,'[1]2025年已发货'!$H:$H,J4017))</f>
        <v>35</v>
      </c>
      <c r="I4017" s="120" t="str">
        <f>VLOOKUP(B4017,辅助信息!E:I,3,FALSE)</f>
        <v>(乐山市校地共建产教融合基地建设项目二标段)四川省乐山市市中区苏稽镇</v>
      </c>
      <c r="J4017" s="120" t="str">
        <f>VLOOKUP(B4017,辅助信息!E:I,4,FALSE)</f>
        <v>彭江涛</v>
      </c>
      <c r="K4017" s="120">
        <f>VLOOKUP(J4017,辅助信息!H:I,2,FALSE)</f>
        <v>13990276572</v>
      </c>
      <c r="L4017" s="122" t="str">
        <f>VLOOKUP(B4017,辅助信息!E:J,6,FALSE)</f>
        <v>联系实际收货人（彭江涛13990276572）现场要求炉批号控制2个以下，超2个不给予签收。提前联系到场规格及数量</v>
      </c>
      <c r="M4017" s="148">
        <v>45929</v>
      </c>
      <c r="O4017" s="62">
        <f ca="1" t="shared" si="208"/>
        <v>0</v>
      </c>
      <c r="P4017" s="62">
        <f ca="1" t="shared" si="209"/>
        <v>31</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6" t="s">
        <v>186</v>
      </c>
      <c r="C4018" s="70">
        <v>45929</v>
      </c>
      <c r="D4018" s="120" t="str">
        <f>VLOOKUP(B4018,辅助信息!E:K,7,FALSE)</f>
        <v>JWDDCD2025072900123</v>
      </c>
      <c r="E4018" s="120" t="str">
        <f>VLOOKUP(F4018,辅助信息!A:B,2,FALSE)</f>
        <v>螺纹钢</v>
      </c>
      <c r="F4018" s="120" t="s">
        <v>181</v>
      </c>
      <c r="G4018" s="121">
        <v>5</v>
      </c>
      <c r="H4018" s="134">
        <f>IF(SUMIFS('[1]2025年已发货'!$E:$E,'[1]2025年已发货'!$F:$F,C4018,'[1]2025年已发货'!$C:$C,F4018,'[1]2025年已发货'!$G:$G,I4018,'[1]2025年已发货'!$H:$H,J4018)=0,"未发货",SUMIFS('[1]2025年已发货'!$E:$E,'[1]2025年已发货'!$F:$F,C4018,'[1]2025年已发货'!$C:$C,F4018,'[1]2025年已发货'!$G:$G,I4018,'[1]2025年已发货'!$H:$H,J4018))</f>
        <v>5</v>
      </c>
      <c r="I4018" s="120" t="str">
        <f>VLOOKUP(B4018,辅助信息!E:I,3,FALSE)</f>
        <v>(乐山市校地共建产教融合基地建设项目二标段)四川省乐山市市中区苏稽镇</v>
      </c>
      <c r="J4018" s="120" t="str">
        <f>VLOOKUP(B4018,辅助信息!E:I,4,FALSE)</f>
        <v>彭江涛</v>
      </c>
      <c r="K4018" s="120">
        <f>VLOOKUP(J4018,辅助信息!H:I,2,FALSE)</f>
        <v>13990276572</v>
      </c>
      <c r="L4018" s="122" t="str">
        <f>VLOOKUP(B4018,辅助信息!E:J,6,FALSE)</f>
        <v>联系实际收货人（彭江涛13990276572）现场要求炉批号控制2个以下，超2个不给予签收。提前联系到场规格及数量</v>
      </c>
      <c r="M4018" s="148">
        <v>45929</v>
      </c>
      <c r="O4018" s="62">
        <f ca="1" t="shared" si="208"/>
        <v>0</v>
      </c>
      <c r="P4018" s="62">
        <f ca="1" t="shared" si="209"/>
        <v>31</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6" t="s">
        <v>186</v>
      </c>
      <c r="C4019" s="70">
        <v>45929</v>
      </c>
      <c r="D4019" s="120" t="str">
        <f>VLOOKUP(B4019,辅助信息!E:K,7,FALSE)</f>
        <v>JWDDCD2025072900123</v>
      </c>
      <c r="E4019" s="120" t="str">
        <f>VLOOKUP(F4019,辅助信息!A:B,2,FALSE)</f>
        <v>螺纹钢</v>
      </c>
      <c r="F4019" s="120" t="s">
        <v>200</v>
      </c>
      <c r="G4019" s="121">
        <v>10</v>
      </c>
      <c r="H4019" s="134">
        <f>IF(SUMIFS('[1]2025年已发货'!$E:$E,'[1]2025年已发货'!$F:$F,C4019,'[1]2025年已发货'!$C:$C,F4019,'[1]2025年已发货'!$G:$G,I4019,'[1]2025年已发货'!$H:$H,J4019)=0,"未发货",SUMIFS('[1]2025年已发货'!$E:$E,'[1]2025年已发货'!$F:$F,C4019,'[1]2025年已发货'!$C:$C,F4019,'[1]2025年已发货'!$G:$G,I4019,'[1]2025年已发货'!$H:$H,J4019))</f>
        <v>11</v>
      </c>
      <c r="I4019" s="120" t="str">
        <f>VLOOKUP(B4019,辅助信息!E:I,3,FALSE)</f>
        <v>(乐山市校地共建产教融合基地建设项目二标段)四川省乐山市市中区苏稽镇</v>
      </c>
      <c r="J4019" s="120" t="str">
        <f>VLOOKUP(B4019,辅助信息!E:I,4,FALSE)</f>
        <v>彭江涛</v>
      </c>
      <c r="K4019" s="120">
        <f>VLOOKUP(J4019,辅助信息!H:I,2,FALSE)</f>
        <v>13990276572</v>
      </c>
      <c r="L4019" s="122" t="str">
        <f>VLOOKUP(B4019,辅助信息!E:J,6,FALSE)</f>
        <v>联系实际收货人（彭江涛13990276572）现场要求炉批号控制2个以下，超2个不给予签收。提前联系到场规格及数量</v>
      </c>
      <c r="M4019" s="148">
        <v>45929</v>
      </c>
      <c r="O4019" s="62">
        <f ca="1" t="shared" si="208"/>
        <v>0</v>
      </c>
      <c r="P4019" s="62">
        <f ca="1" t="shared" si="209"/>
        <v>31</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6" t="s">
        <v>186</v>
      </c>
      <c r="C4020" s="70">
        <v>45929</v>
      </c>
      <c r="D4020" s="120" t="str">
        <f>VLOOKUP(B4020,辅助信息!E:K,7,FALSE)</f>
        <v>JWDDCD2025072900123</v>
      </c>
      <c r="E4020" s="120" t="str">
        <f>VLOOKUP(F4020,辅助信息!A:B,2,FALSE)</f>
        <v>盘螺</v>
      </c>
      <c r="F4020" s="120" t="s">
        <v>41</v>
      </c>
      <c r="G4020" s="121">
        <v>35</v>
      </c>
      <c r="H4020" s="134">
        <f>IF(SUMIFS('[1]2025年已发货'!$E:$E,'[1]2025年已发货'!$F:$F,C4020,'[1]2025年已发货'!$C:$C,F4020,'[1]2025年已发货'!$G:$G,I4020,'[1]2025年已发货'!$H:$H,J4020)=0,"未发货",SUMIFS('[1]2025年已发货'!$E:$E,'[1]2025年已发货'!$F:$F,C4020,'[1]2025年已发货'!$C:$C,F4020,'[1]2025年已发货'!$G:$G,I4020,'[1]2025年已发货'!$H:$H,J4020))</f>
        <v>35</v>
      </c>
      <c r="I4020" s="120" t="str">
        <f>VLOOKUP(B4020,辅助信息!E:I,3,FALSE)</f>
        <v>(乐山市校地共建产教融合基地建设项目二标段)四川省乐山市市中区苏稽镇</v>
      </c>
      <c r="J4020" s="120" t="str">
        <f>VLOOKUP(B4020,辅助信息!E:I,4,FALSE)</f>
        <v>彭江涛</v>
      </c>
      <c r="K4020" s="120">
        <f>VLOOKUP(J4020,辅助信息!H:I,2,FALSE)</f>
        <v>13990276572</v>
      </c>
      <c r="L4020" s="122" t="str">
        <f>VLOOKUP(B4020,辅助信息!E:J,6,FALSE)</f>
        <v>联系实际收货人（彭江涛13990276572）现场要求炉批号控制2个以下，超2个不给予签收。提前联系到场规格及数量</v>
      </c>
      <c r="M4020" s="148">
        <v>45929</v>
      </c>
      <c r="O4020" s="62">
        <f ca="1" t="shared" si="208"/>
        <v>0</v>
      </c>
      <c r="P4020" s="62">
        <f ca="1" t="shared" si="209"/>
        <v>31</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6" t="s">
        <v>186</v>
      </c>
      <c r="C4021" s="70">
        <v>45929</v>
      </c>
      <c r="D4021" s="120" t="str">
        <f>VLOOKUP(B4021,辅助信息!E:K,7,FALSE)</f>
        <v>JWDDCD2025072900123</v>
      </c>
      <c r="E4021" s="120" t="str">
        <f>VLOOKUP(F4021,辅助信息!A:B,2,FALSE)</f>
        <v>盘螺</v>
      </c>
      <c r="F4021" s="120" t="s">
        <v>26</v>
      </c>
      <c r="G4021" s="121">
        <v>20</v>
      </c>
      <c r="H4021" s="134">
        <f>IF(SUMIFS('[1]2025年已发货'!$E:$E,'[1]2025年已发货'!$F:$F,C4021,'[1]2025年已发货'!$C:$C,F4021,'[1]2025年已发货'!$G:$G,I4021,'[1]2025年已发货'!$H:$H,J4021)=0,"未发货",SUMIFS('[1]2025年已发货'!$E:$E,'[1]2025年已发货'!$F:$F,C4021,'[1]2025年已发货'!$C:$C,F4021,'[1]2025年已发货'!$G:$G,I4021,'[1]2025年已发货'!$H:$H,J4021))</f>
        <v>20</v>
      </c>
      <c r="I4021" s="120" t="str">
        <f>VLOOKUP(B4021,辅助信息!E:I,3,FALSE)</f>
        <v>(乐山市校地共建产教融合基地建设项目二标段)四川省乐山市市中区苏稽镇</v>
      </c>
      <c r="J4021" s="120" t="str">
        <f>VLOOKUP(B4021,辅助信息!E:I,4,FALSE)</f>
        <v>彭江涛</v>
      </c>
      <c r="K4021" s="120">
        <f>VLOOKUP(J4021,辅助信息!H:I,2,FALSE)</f>
        <v>13990276572</v>
      </c>
      <c r="L4021" s="122" t="str">
        <f>VLOOKUP(B4021,辅助信息!E:J,6,FALSE)</f>
        <v>联系实际收货人（彭江涛13990276572）现场要求炉批号控制2个以下，超2个不给予签收。提前联系到场规格及数量</v>
      </c>
      <c r="M4021" s="148">
        <v>45929</v>
      </c>
      <c r="O4021" s="62">
        <f ca="1" t="shared" si="208"/>
        <v>0</v>
      </c>
      <c r="P4021" s="62">
        <f ca="1" t="shared" si="209"/>
        <v>31</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6" t="s">
        <v>186</v>
      </c>
      <c r="C4022" s="70">
        <v>45929</v>
      </c>
      <c r="D4022" s="120" t="str">
        <f>VLOOKUP(B4022,辅助信息!E:K,7,FALSE)</f>
        <v>JWDDCD2025072900123</v>
      </c>
      <c r="E4022" s="120" t="str">
        <f>VLOOKUP(F4022,辅助信息!A:B,2,FALSE)</f>
        <v>盘螺</v>
      </c>
      <c r="F4022" s="120" t="s">
        <v>40</v>
      </c>
      <c r="G4022" s="121">
        <v>35</v>
      </c>
      <c r="H4022" s="134">
        <f>IF(SUMIFS('[1]2025年已发货'!$E:$E,'[1]2025年已发货'!$F:$F,C4022,'[1]2025年已发货'!$C:$C,F4022,'[1]2025年已发货'!$G:$G,I4022,'[1]2025年已发货'!$H:$H,J4022)=0,"未发货",SUMIFS('[1]2025年已发货'!$E:$E,'[1]2025年已发货'!$F:$F,C4022,'[1]2025年已发货'!$C:$C,F4022,'[1]2025年已发货'!$G:$G,I4022,'[1]2025年已发货'!$H:$H,J4022))</f>
        <v>35</v>
      </c>
      <c r="I4022" s="120" t="str">
        <f>VLOOKUP(B4022,辅助信息!E:I,3,FALSE)</f>
        <v>(乐山市校地共建产教融合基地建设项目二标段)四川省乐山市市中区苏稽镇</v>
      </c>
      <c r="J4022" s="120" t="str">
        <f>VLOOKUP(B4022,辅助信息!E:I,4,FALSE)</f>
        <v>彭江涛</v>
      </c>
      <c r="K4022" s="120">
        <f>VLOOKUP(J4022,辅助信息!H:I,2,FALSE)</f>
        <v>13990276572</v>
      </c>
      <c r="L4022" s="122" t="str">
        <f>VLOOKUP(B4022,辅助信息!E:J,6,FALSE)</f>
        <v>联系实际收货人（彭江涛13990276572）现场要求炉批号控制2个以下，超2个不给予签收。提前联系到场规格及数量</v>
      </c>
      <c r="M4022" s="148">
        <v>45929</v>
      </c>
      <c r="O4022" s="62">
        <f ca="1" t="shared" si="208"/>
        <v>0</v>
      </c>
      <c r="P4022" s="62">
        <f ca="1" t="shared" si="209"/>
        <v>31</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6" t="s">
        <v>187</v>
      </c>
      <c r="C4023" s="70">
        <v>45929</v>
      </c>
      <c r="D4023" s="120" t="str">
        <f>VLOOKUP(B4023,辅助信息!E:K,7,FALSE)</f>
        <v>JWDDCD2025072900121</v>
      </c>
      <c r="E4023" s="120" t="str">
        <f>VLOOKUP(F4023,辅助信息!A:B,2,FALSE)</f>
        <v>螺纹钢</v>
      </c>
      <c r="F4023" s="120" t="s">
        <v>22</v>
      </c>
      <c r="G4023" s="121">
        <v>7</v>
      </c>
      <c r="H4023" s="134">
        <f>IF(SUMIFS('[1]2025年已发货'!$E:$E,'[1]2025年已发货'!$F:$F,C4023,'[1]2025年已发货'!$C:$C,F4023,'[1]2025年已发货'!$G:$G,I4023,'[1]2025年已发货'!$H:$H,J4023)=0,"未发货",SUMIFS('[1]2025年已发货'!$E:$E,'[1]2025年已发货'!$F:$F,C4023,'[1]2025年已发货'!$C:$C,F4023,'[1]2025年已发货'!$G:$G,I4023,'[1]2025年已发货'!$H:$H,J4023))</f>
        <v>25</v>
      </c>
      <c r="I4023" s="120" t="str">
        <f>VLOOKUP(B4023,辅助信息!E:I,3,FALSE)</f>
        <v>(乐山市校地共建产教融合基地建设项目一标段)四川省乐山市市中区苏稽镇周山嘴</v>
      </c>
      <c r="J4023" s="120" t="str">
        <f>VLOOKUP(B4023,辅助信息!E:I,4,FALSE)</f>
        <v>范增云</v>
      </c>
      <c r="K4023" s="120">
        <f>VLOOKUP(J4023,辅助信息!H:I,2,FALSE)</f>
        <v>13668153241</v>
      </c>
      <c r="L4023" s="122" t="str">
        <f>VLOOKUP(B4023,辅助信息!E:J,6,FALSE)</f>
        <v>联系实际收货人（范增云13668153241）现场要求炉批号控制2个以下，超2个不给予签收。提前联系到场规格及数量</v>
      </c>
      <c r="M4023" s="148">
        <v>45929</v>
      </c>
      <c r="O4023" s="62">
        <f ca="1" t="shared" si="208"/>
        <v>0</v>
      </c>
      <c r="P4023" s="62">
        <f ca="1" t="shared" si="209"/>
        <v>31</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6" t="s">
        <v>187</v>
      </c>
      <c r="C4024" s="70">
        <v>45929</v>
      </c>
      <c r="D4024" s="120" t="str">
        <f>VLOOKUP(B4024,辅助信息!E:K,7,FALSE)</f>
        <v>JWDDCD2025072900121</v>
      </c>
      <c r="E4024" s="120" t="str">
        <f>VLOOKUP(F4024,辅助信息!A:B,2,FALSE)</f>
        <v>盘螺</v>
      </c>
      <c r="F4024" s="120" t="s">
        <v>41</v>
      </c>
      <c r="G4024" s="121">
        <v>20</v>
      </c>
      <c r="H4024" s="134">
        <f>IF(SUMIFS('[1]2025年已发货'!$E:$E,'[1]2025年已发货'!$F:$F,C4024,'[1]2025年已发货'!$C:$C,F4024,'[1]2025年已发货'!$G:$G,I4024,'[1]2025年已发货'!$H:$H,J4024)=0,"未发货",SUMIFS('[1]2025年已发货'!$E:$E,'[1]2025年已发货'!$F:$F,C4024,'[1]2025年已发货'!$C:$C,F4024,'[1]2025年已发货'!$G:$G,I4024,'[1]2025年已发货'!$H:$H,J4024))</f>
        <v>20</v>
      </c>
      <c r="I4024" s="120" t="str">
        <f>VLOOKUP(B4024,辅助信息!E:I,3,FALSE)</f>
        <v>(乐山市校地共建产教融合基地建设项目一标段)四川省乐山市市中区苏稽镇周山嘴</v>
      </c>
      <c r="J4024" s="120" t="str">
        <f>VLOOKUP(B4024,辅助信息!E:I,4,FALSE)</f>
        <v>范增云</v>
      </c>
      <c r="K4024" s="120">
        <f>VLOOKUP(J4024,辅助信息!H:I,2,FALSE)</f>
        <v>13668153241</v>
      </c>
      <c r="L4024" s="122" t="str">
        <f>VLOOKUP(B4024,辅助信息!E:J,6,FALSE)</f>
        <v>联系实际收货人（范增云13668153241）现场要求炉批号控制2个以下，超2个不给予签收。提前联系到场规格及数量</v>
      </c>
      <c r="M4024" s="148">
        <v>45929</v>
      </c>
      <c r="O4024" s="62">
        <f ca="1" t="shared" si="208"/>
        <v>0</v>
      </c>
      <c r="P4024" s="62">
        <f ca="1" t="shared" si="209"/>
        <v>31</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6" t="s">
        <v>187</v>
      </c>
      <c r="C4025" s="70">
        <v>45929</v>
      </c>
      <c r="D4025" s="120" t="str">
        <f>VLOOKUP(B4025,辅助信息!E:K,7,FALSE)</f>
        <v>JWDDCD2025072900121</v>
      </c>
      <c r="E4025" s="120" t="str">
        <f>VLOOKUP(F4025,辅助信息!A:B,2,FALSE)</f>
        <v>盘螺</v>
      </c>
      <c r="F4025" s="120" t="s">
        <v>26</v>
      </c>
      <c r="G4025" s="121">
        <v>20</v>
      </c>
      <c r="H4025" s="134">
        <f>IF(SUMIFS('[1]2025年已发货'!$E:$E,'[1]2025年已发货'!$F:$F,C4025,'[1]2025年已发货'!$C:$C,F4025,'[1]2025年已发货'!$G:$G,I4025,'[1]2025年已发货'!$H:$H,J4025)=0,"未发货",SUMIFS('[1]2025年已发货'!$E:$E,'[1]2025年已发货'!$F:$F,C4025,'[1]2025年已发货'!$C:$C,F4025,'[1]2025年已发货'!$G:$G,I4025,'[1]2025年已发货'!$H:$H,J4025))</f>
        <v>20</v>
      </c>
      <c r="I4025" s="120" t="str">
        <f>VLOOKUP(B4025,辅助信息!E:I,3,FALSE)</f>
        <v>(乐山市校地共建产教融合基地建设项目一标段)四川省乐山市市中区苏稽镇周山嘴</v>
      </c>
      <c r="J4025" s="120" t="str">
        <f>VLOOKUP(B4025,辅助信息!E:I,4,FALSE)</f>
        <v>范增云</v>
      </c>
      <c r="K4025" s="120">
        <f>VLOOKUP(J4025,辅助信息!H:I,2,FALSE)</f>
        <v>13668153241</v>
      </c>
      <c r="L4025" s="122" t="str">
        <f>VLOOKUP(B4025,辅助信息!E:J,6,FALSE)</f>
        <v>联系实际收货人（范增云13668153241）现场要求炉批号控制2个以下，超2个不给予签收。提前联系到场规格及数量</v>
      </c>
      <c r="M4025" s="148">
        <v>45929</v>
      </c>
      <c r="O4025" s="62">
        <f ca="1" t="shared" si="208"/>
        <v>0</v>
      </c>
      <c r="P4025" s="62">
        <f ca="1" t="shared" si="209"/>
        <v>31</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6" t="s">
        <v>187</v>
      </c>
      <c r="C4026" s="70">
        <v>45929</v>
      </c>
      <c r="D4026" s="120" t="str">
        <f>VLOOKUP(B4026,辅助信息!E:K,7,FALSE)</f>
        <v>JWDDCD2025072900121</v>
      </c>
      <c r="E4026" s="120" t="str">
        <f>VLOOKUP(F4026,辅助信息!A:B,2,FALSE)</f>
        <v>盘螺</v>
      </c>
      <c r="F4026" s="120" t="s">
        <v>49</v>
      </c>
      <c r="G4026" s="121">
        <v>10</v>
      </c>
      <c r="H4026" s="134">
        <f>IF(SUMIFS('[1]2025年已发货'!$E:$E,'[1]2025年已发货'!$F:$F,C4026,'[1]2025年已发货'!$C:$C,F4026,'[1]2025年已发货'!$G:$G,I4026,'[1]2025年已发货'!$H:$H,J4026)=0,"未发货",SUMIFS('[1]2025年已发货'!$E:$E,'[1]2025年已发货'!$F:$F,C4026,'[1]2025年已发货'!$C:$C,F4026,'[1]2025年已发货'!$G:$G,I4026,'[1]2025年已发货'!$H:$H,J4026))</f>
        <v>10</v>
      </c>
      <c r="I4026" s="120" t="str">
        <f>VLOOKUP(B4026,辅助信息!E:I,3,FALSE)</f>
        <v>(乐山市校地共建产教融合基地建设项目一标段)四川省乐山市市中区苏稽镇周山嘴</v>
      </c>
      <c r="J4026" s="120" t="str">
        <f>VLOOKUP(B4026,辅助信息!E:I,4,FALSE)</f>
        <v>范增云</v>
      </c>
      <c r="K4026" s="120">
        <f>VLOOKUP(J4026,辅助信息!H:I,2,FALSE)</f>
        <v>13668153241</v>
      </c>
      <c r="L4026" s="122" t="str">
        <f>VLOOKUP(B4026,辅助信息!E:J,6,FALSE)</f>
        <v>联系实际收货人（范增云13668153241）现场要求炉批号控制2个以下，超2个不给予签收。提前联系到场规格及数量</v>
      </c>
      <c r="M4026" s="148">
        <v>45929</v>
      </c>
      <c r="O4026" s="62">
        <f ca="1" t="shared" si="208"/>
        <v>0</v>
      </c>
      <c r="P4026" s="62">
        <f ca="1" t="shared" si="209"/>
        <v>31</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6" t="s">
        <v>187</v>
      </c>
      <c r="C4027" s="70">
        <v>45929</v>
      </c>
      <c r="D4027" s="120" t="str">
        <f>VLOOKUP(B4027,辅助信息!E:K,7,FALSE)</f>
        <v>JWDDCD2025072900121</v>
      </c>
      <c r="E4027" s="120" t="str">
        <f>VLOOKUP(F4027,辅助信息!A:B,2,FALSE)</f>
        <v>盘螺</v>
      </c>
      <c r="F4027" s="120" t="s">
        <v>40</v>
      </c>
      <c r="G4027" s="121">
        <v>25</v>
      </c>
      <c r="H4027" s="134">
        <f>IF(SUMIFS('[1]2025年已发货'!$E:$E,'[1]2025年已发货'!$F:$F,C4027,'[1]2025年已发货'!$C:$C,F4027,'[1]2025年已发货'!$G:$G,I4027,'[1]2025年已发货'!$H:$H,J4027)=0,"未发货",SUMIFS('[1]2025年已发货'!$E:$E,'[1]2025年已发货'!$F:$F,C4027,'[1]2025年已发货'!$C:$C,F4027,'[1]2025年已发货'!$G:$G,I4027,'[1]2025年已发货'!$H:$H,J4027))</f>
        <v>25</v>
      </c>
      <c r="I4027" s="120" t="str">
        <f>VLOOKUP(B4027,辅助信息!E:I,3,FALSE)</f>
        <v>(乐山市校地共建产教融合基地建设项目一标段)四川省乐山市市中区苏稽镇周山嘴</v>
      </c>
      <c r="J4027" s="120" t="str">
        <f>VLOOKUP(B4027,辅助信息!E:I,4,FALSE)</f>
        <v>范增云</v>
      </c>
      <c r="K4027" s="120">
        <f>VLOOKUP(J4027,辅助信息!H:I,2,FALSE)</f>
        <v>13668153241</v>
      </c>
      <c r="L4027" s="122" t="str">
        <f>VLOOKUP(B4027,辅助信息!E:J,6,FALSE)</f>
        <v>联系实际收货人（范增云13668153241）现场要求炉批号控制2个以下，超2个不给予签收。提前联系到场规格及数量</v>
      </c>
      <c r="M4027" s="148">
        <v>45929</v>
      </c>
      <c r="O4027" s="62">
        <f ca="1" t="shared" si="208"/>
        <v>0</v>
      </c>
      <c r="P4027" s="62">
        <f ca="1" t="shared" si="209"/>
        <v>31</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6" t="s">
        <v>179</v>
      </c>
      <c r="C4028" s="70">
        <v>45929</v>
      </c>
      <c r="D4028" s="120" t="str">
        <f>VLOOKUP(B4028,辅助信息!E:K,7,FALSE)</f>
        <v>JWDDCD2025052800131</v>
      </c>
      <c r="E4028" s="120" t="str">
        <f>VLOOKUP(F4028,辅助信息!A:B,2,FALSE)</f>
        <v>螺纹钢</v>
      </c>
      <c r="F4028" s="120" t="s">
        <v>66</v>
      </c>
      <c r="G4028" s="121">
        <v>6</v>
      </c>
      <c r="H4028" s="134"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0" t="str">
        <f>VLOOKUP(B4028,辅助信息!E:I,3,FALSE)</f>
        <v>（商投建工达州中医药科技园-4工区-3号楼）达州市通川区达州中医药职业学院犀牛大道北段</v>
      </c>
      <c r="J4028" s="120" t="str">
        <f>VLOOKUP(B4028,辅助信息!E:I,4,FALSE)</f>
        <v>张扬</v>
      </c>
      <c r="K4028" s="120">
        <f>VLOOKUP(J4028,辅助信息!H:I,2,FALSE)</f>
        <v>18381904567</v>
      </c>
      <c r="L4028" s="122" t="str">
        <f>VLOOKUP(B4028,辅助信息!E:J,6,FALSE)</f>
        <v>控制炉批号！多了现场不收！,优先安排达钢,提前联系到场规格及数量</v>
      </c>
      <c r="M4028" s="148">
        <v>45929</v>
      </c>
      <c r="O4028" s="62">
        <f ca="1" t="shared" si="208"/>
        <v>0</v>
      </c>
      <c r="P4028" s="62">
        <f ca="1" t="shared" si="209"/>
        <v>31</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6" t="s">
        <v>179</v>
      </c>
      <c r="C4029" s="70">
        <v>45929</v>
      </c>
      <c r="D4029" s="120" t="str">
        <f>VLOOKUP(B4029,辅助信息!E:K,7,FALSE)</f>
        <v>JWDDCD2025052800131</v>
      </c>
      <c r="E4029" s="120" t="str">
        <f>VLOOKUP(F4029,辅助信息!A:B,2,FALSE)</f>
        <v>螺纹钢</v>
      </c>
      <c r="F4029" s="120" t="s">
        <v>21</v>
      </c>
      <c r="G4029" s="121">
        <v>6</v>
      </c>
      <c r="H4029" s="134"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0" t="str">
        <f>VLOOKUP(B4029,辅助信息!E:I,3,FALSE)</f>
        <v>（商投建工达州中医药科技园-4工区-3号楼）达州市通川区达州中医药职业学院犀牛大道北段</v>
      </c>
      <c r="J4029" s="120" t="str">
        <f>VLOOKUP(B4029,辅助信息!E:I,4,FALSE)</f>
        <v>张扬</v>
      </c>
      <c r="K4029" s="120">
        <f>VLOOKUP(J4029,辅助信息!H:I,2,FALSE)</f>
        <v>18381904567</v>
      </c>
      <c r="L4029" s="122" t="str">
        <f>VLOOKUP(B4029,辅助信息!E:J,6,FALSE)</f>
        <v>控制炉批号！多了现场不收！,优先安排达钢,提前联系到场规格及数量</v>
      </c>
      <c r="M4029" s="148">
        <v>45929</v>
      </c>
      <c r="O4029" s="62">
        <f ca="1" t="shared" si="208"/>
        <v>0</v>
      </c>
      <c r="P4029" s="62">
        <f ca="1" t="shared" si="209"/>
        <v>31</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6" t="s">
        <v>179</v>
      </c>
      <c r="C4030" s="70">
        <v>45929</v>
      </c>
      <c r="D4030" s="120" t="str">
        <f>VLOOKUP(B4030,辅助信息!E:K,7,FALSE)</f>
        <v>JWDDCD2025052800131</v>
      </c>
      <c r="E4030" s="120" t="str">
        <f>VLOOKUP(F4030,辅助信息!A:B,2,FALSE)</f>
        <v>螺纹钢</v>
      </c>
      <c r="F4030" s="120" t="s">
        <v>58</v>
      </c>
      <c r="G4030" s="121">
        <v>15</v>
      </c>
      <c r="H4030" s="134"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0" t="str">
        <f>VLOOKUP(B4030,辅助信息!E:I,3,FALSE)</f>
        <v>（商投建工达州中医药科技园-4工区-3号楼）达州市通川区达州中医药职业学院犀牛大道北段</v>
      </c>
      <c r="J4030" s="120" t="str">
        <f>VLOOKUP(B4030,辅助信息!E:I,4,FALSE)</f>
        <v>张扬</v>
      </c>
      <c r="K4030" s="120">
        <f>VLOOKUP(J4030,辅助信息!H:I,2,FALSE)</f>
        <v>18381904567</v>
      </c>
      <c r="L4030" s="122" t="str">
        <f>VLOOKUP(B4030,辅助信息!E:J,6,FALSE)</f>
        <v>控制炉批号！多了现场不收！,优先安排达钢,提前联系到场规格及数量</v>
      </c>
      <c r="M4030" s="148">
        <v>45929</v>
      </c>
      <c r="O4030" s="62">
        <f ca="1" t="shared" si="208"/>
        <v>0</v>
      </c>
      <c r="P4030" s="62">
        <f ca="1" t="shared" si="209"/>
        <v>31</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6" t="s">
        <v>179</v>
      </c>
      <c r="C4031" s="70">
        <v>45929</v>
      </c>
      <c r="D4031" s="120" t="str">
        <f>VLOOKUP(B4031,辅助信息!E:K,7,FALSE)</f>
        <v>JWDDCD2025052800131</v>
      </c>
      <c r="E4031" s="120" t="str">
        <f>VLOOKUP(F4031,辅助信息!A:B,2,FALSE)</f>
        <v>螺纹钢</v>
      </c>
      <c r="F4031" s="120" t="s">
        <v>46</v>
      </c>
      <c r="G4031" s="121">
        <v>10</v>
      </c>
      <c r="H4031" s="134"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0" t="str">
        <f>VLOOKUP(B4031,辅助信息!E:I,3,FALSE)</f>
        <v>（商投建工达州中医药科技园-4工区-3号楼）达州市通川区达州中医药职业学院犀牛大道北段</v>
      </c>
      <c r="J4031" s="120" t="str">
        <f>VLOOKUP(B4031,辅助信息!E:I,4,FALSE)</f>
        <v>张扬</v>
      </c>
      <c r="K4031" s="120">
        <f>VLOOKUP(J4031,辅助信息!H:I,2,FALSE)</f>
        <v>18381904567</v>
      </c>
      <c r="L4031" s="122" t="str">
        <f>VLOOKUP(B4031,辅助信息!E:J,6,FALSE)</f>
        <v>控制炉批号！多了现场不收！,优先安排达钢,提前联系到场规格及数量</v>
      </c>
      <c r="M4031" s="148">
        <v>45928</v>
      </c>
      <c r="O4031" s="62">
        <f ca="1" t="shared" si="208"/>
        <v>0</v>
      </c>
      <c r="P4031" s="62">
        <f ca="1" t="shared" si="209"/>
        <v>32</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6" t="s">
        <v>179</v>
      </c>
      <c r="C4032" s="70">
        <v>45929</v>
      </c>
      <c r="D4032" s="120" t="str">
        <f>VLOOKUP(B4032,辅助信息!E:K,7,FALSE)</f>
        <v>JWDDCD2025052800131</v>
      </c>
      <c r="E4032" s="120" t="str">
        <f>VLOOKUP(F4032,辅助信息!A:B,2,FALSE)</f>
        <v>盘螺</v>
      </c>
      <c r="F4032" s="120" t="s">
        <v>41</v>
      </c>
      <c r="G4032" s="121">
        <v>9</v>
      </c>
      <c r="H4032" s="134"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0" t="str">
        <f>VLOOKUP(B4032,辅助信息!E:I,3,FALSE)</f>
        <v>（商投建工达州中医药科技园-4工区-3号楼）达州市通川区达州中医药职业学院犀牛大道北段</v>
      </c>
      <c r="J4032" s="120" t="str">
        <f>VLOOKUP(B4032,辅助信息!E:I,4,FALSE)</f>
        <v>张扬</v>
      </c>
      <c r="K4032" s="120">
        <f>VLOOKUP(J4032,辅助信息!H:I,2,FALSE)</f>
        <v>18381904567</v>
      </c>
      <c r="L4032" s="122" t="str">
        <f>VLOOKUP(B4032,辅助信息!E:J,6,FALSE)</f>
        <v>控制炉批号！多了现场不收！,优先安排达钢,提前联系到场规格及数量</v>
      </c>
      <c r="M4032" s="148">
        <v>45928</v>
      </c>
      <c r="O4032" s="62">
        <f ca="1" t="shared" si="208"/>
        <v>0</v>
      </c>
      <c r="P4032" s="62">
        <f ca="1" t="shared" si="209"/>
        <v>32</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6" t="s">
        <v>179</v>
      </c>
      <c r="C4033" s="70">
        <v>45929</v>
      </c>
      <c r="D4033" s="120" t="str">
        <f>VLOOKUP(B4033,辅助信息!E:K,7,FALSE)</f>
        <v>JWDDCD2025052800131</v>
      </c>
      <c r="E4033" s="120" t="str">
        <f>VLOOKUP(F4033,辅助信息!A:B,2,FALSE)</f>
        <v>盘螺</v>
      </c>
      <c r="F4033" s="120" t="s">
        <v>49</v>
      </c>
      <c r="G4033" s="121">
        <v>6</v>
      </c>
      <c r="H4033" s="134"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0" t="str">
        <f>VLOOKUP(B4033,辅助信息!E:I,3,FALSE)</f>
        <v>（商投建工达州中医药科技园-4工区-3号楼）达州市通川区达州中医药职业学院犀牛大道北段</v>
      </c>
      <c r="J4033" s="120" t="str">
        <f>VLOOKUP(B4033,辅助信息!E:I,4,FALSE)</f>
        <v>张扬</v>
      </c>
      <c r="K4033" s="120">
        <f>VLOOKUP(J4033,辅助信息!H:I,2,FALSE)</f>
        <v>18381904567</v>
      </c>
      <c r="L4033" s="122" t="str">
        <f>VLOOKUP(B4033,辅助信息!E:J,6,FALSE)</f>
        <v>控制炉批号！多了现场不收！,优先安排达钢,提前联系到场规格及数量</v>
      </c>
      <c r="M4033" s="148">
        <v>45929</v>
      </c>
      <c r="O4033" s="62">
        <f ca="1" t="shared" si="208"/>
        <v>0</v>
      </c>
      <c r="P4033" s="62">
        <f ca="1" t="shared" si="209"/>
        <v>31</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6" t="s">
        <v>179</v>
      </c>
      <c r="C4034" s="70">
        <v>45929</v>
      </c>
      <c r="D4034" s="120" t="str">
        <f>VLOOKUP(B4034,辅助信息!E:K,7,FALSE)</f>
        <v>JWDDCD2025052800131</v>
      </c>
      <c r="E4034" s="120" t="str">
        <f>VLOOKUP(F4034,辅助信息!A:B,2,FALSE)</f>
        <v>盘螺</v>
      </c>
      <c r="F4034" s="120" t="s">
        <v>40</v>
      </c>
      <c r="G4034" s="121">
        <v>21</v>
      </c>
      <c r="H4034" s="134"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0" t="str">
        <f>VLOOKUP(B4034,辅助信息!E:I,3,FALSE)</f>
        <v>（商投建工达州中医药科技园-4工区-3号楼）达州市通川区达州中医药职业学院犀牛大道北段</v>
      </c>
      <c r="J4034" s="120" t="str">
        <f>VLOOKUP(B4034,辅助信息!E:I,4,FALSE)</f>
        <v>张扬</v>
      </c>
      <c r="K4034" s="120">
        <f>VLOOKUP(J4034,辅助信息!H:I,2,FALSE)</f>
        <v>18381904567</v>
      </c>
      <c r="L4034" s="122" t="str">
        <f>VLOOKUP(B4034,辅助信息!E:J,6,FALSE)</f>
        <v>控制炉批号！多了现场不收！,优先安排达钢,提前联系到场规格及数量</v>
      </c>
      <c r="M4034" s="148">
        <v>45929</v>
      </c>
      <c r="O4034" s="62">
        <f ca="1" t="shared" si="208"/>
        <v>0</v>
      </c>
      <c r="P4034" s="62">
        <f ca="1" t="shared" si="209"/>
        <v>31</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6" t="s">
        <v>226</v>
      </c>
      <c r="C4035" s="70">
        <v>45929</v>
      </c>
      <c r="D4035" s="120" t="str">
        <f>VLOOKUP(B4035,辅助信息!E:K,7,FALSE)</f>
        <v>JWDDCD2025092400211</v>
      </c>
      <c r="E4035" s="120" t="str">
        <f>VLOOKUP(F4035,辅助信息!A:B,2,FALSE)</f>
        <v>螺纹钢</v>
      </c>
      <c r="F4035" s="120" t="s">
        <v>46</v>
      </c>
      <c r="G4035" s="121">
        <f>32-15</f>
        <v>17</v>
      </c>
      <c r="H4035" s="134">
        <f>IF(SUMIFS('[1]2025年已发货'!$E:$E,'[1]2025年已发货'!$F:$F,C4035,'[1]2025年已发货'!$C:$C,F4035,'[1]2025年已发货'!$G:$G,I4035,'[1]2025年已发货'!$H:$H,J4035)=0,"未发货",SUMIFS('[1]2025年已发货'!$E:$E,'[1]2025年已发货'!$F:$F,C4035,'[1]2025年已发货'!$C:$C,F4035,'[1]2025年已发货'!$G:$G,I4035,'[1]2025年已发货'!$H:$H,J4035))</f>
        <v>17</v>
      </c>
      <c r="I4035" s="120" t="str">
        <f>VLOOKUP(B4035,辅助信息!E:I,3,FALSE)</f>
        <v>(五冶钢构龙泉东洪片区85亩住宅、商业及配套工程项目二标段)成都市龙泉驿外东洪路地铁2号线惠王陵地铁C口</v>
      </c>
      <c r="J4035" s="120" t="str">
        <f>VLOOKUP(B4035,辅助信息!E:I,4,FALSE)</f>
        <v>李渊</v>
      </c>
      <c r="K4035" s="120">
        <f>VLOOKUP(J4035,辅助信息!H:I,2,FALSE)</f>
        <v>18381013849</v>
      </c>
      <c r="L4035" s="122">
        <f>VLOOKUP(B4035,辅助信息!E:J,6,FALSE)</f>
        <v>0</v>
      </c>
      <c r="M4035" s="148">
        <v>45929</v>
      </c>
      <c r="O4035" s="62">
        <f ca="1" t="shared" si="208"/>
        <v>0</v>
      </c>
      <c r="P4035" s="62">
        <f ca="1" t="shared" si="209"/>
        <v>31</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6" t="s">
        <v>226</v>
      </c>
      <c r="C4036" s="70">
        <v>45929</v>
      </c>
      <c r="D4036" s="120" t="str">
        <f>VLOOKUP(B4036,辅助信息!E:K,7,FALSE)</f>
        <v>JWDDCD2025092400211</v>
      </c>
      <c r="E4036" s="120" t="str">
        <f>VLOOKUP(F4036,辅助信息!A:B,2,FALSE)</f>
        <v>盘螺</v>
      </c>
      <c r="F4036" s="120" t="s">
        <v>40</v>
      </c>
      <c r="G4036" s="121">
        <f>123-105</f>
        <v>18</v>
      </c>
      <c r="H4036" s="134">
        <f>IF(SUMIFS('[1]2025年已发货'!$E:$E,'[1]2025年已发货'!$F:$F,C4036,'[1]2025年已发货'!$C:$C,F4036,'[1]2025年已发货'!$G:$G,I4036,'[1]2025年已发货'!$H:$H,J4036)=0,"未发货",SUMIFS('[1]2025年已发货'!$E:$E,'[1]2025年已发货'!$F:$F,C4036,'[1]2025年已发货'!$C:$C,F4036,'[1]2025年已发货'!$G:$G,I4036,'[1]2025年已发货'!$H:$H,J4036))</f>
        <v>18</v>
      </c>
      <c r="I4036" s="120" t="str">
        <f>VLOOKUP(B4036,辅助信息!E:I,3,FALSE)</f>
        <v>(五冶钢构龙泉东洪片区85亩住宅、商业及配套工程项目二标段)成都市龙泉驿外东洪路地铁2号线惠王陵地铁C口</v>
      </c>
      <c r="J4036" s="120" t="str">
        <f>VLOOKUP(B4036,辅助信息!E:I,4,FALSE)</f>
        <v>李渊</v>
      </c>
      <c r="K4036" s="120">
        <f>VLOOKUP(J4036,辅助信息!H:I,2,FALSE)</f>
        <v>18381013849</v>
      </c>
      <c r="L4036" s="122">
        <f>VLOOKUP(B4036,辅助信息!E:J,6,FALSE)</f>
        <v>0</v>
      </c>
      <c r="M4036" s="148">
        <v>45929</v>
      </c>
      <c r="O4036" s="62">
        <f ca="1" t="shared" si="208"/>
        <v>0</v>
      </c>
      <c r="P4036" s="62">
        <f ca="1" t="shared" si="209"/>
        <v>31</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6" t="s">
        <v>225</v>
      </c>
      <c r="C4037" s="70">
        <v>45929</v>
      </c>
      <c r="D4037" s="120" t="str">
        <f>VLOOKUP(B4037,辅助信息!E:K,7,FALSE)</f>
        <v>JWDDCD2025092400210</v>
      </c>
      <c r="E4037" s="120" t="str">
        <f>VLOOKUP(F4037,辅助信息!A:B,2,FALSE)</f>
        <v>高线</v>
      </c>
      <c r="F4037" s="120" t="s">
        <v>53</v>
      </c>
      <c r="G4037" s="121">
        <v>15</v>
      </c>
      <c r="H4037" s="134">
        <f>IF(SUMIFS('[1]2025年已发货'!$E:$E,'[1]2025年已发货'!$F:$F,C4037,'[1]2025年已发货'!$C:$C,F4037,'[1]2025年已发货'!$G:$G,I4037,'[1]2025年已发货'!$H:$H,J4037)=0,"未发货",SUMIFS('[1]2025年已发货'!$E:$E,'[1]2025年已发货'!$F:$F,C4037,'[1]2025年已发货'!$C:$C,F4037,'[1]2025年已发货'!$G:$G,I4037,'[1]2025年已发货'!$H:$H,J4037))</f>
        <v>15</v>
      </c>
      <c r="I4037" s="120" t="str">
        <f>VLOOKUP(B4037,辅助信息!E:I,3,FALSE)</f>
        <v>(五冶钢构龙泉东洪片区85亩住宅、商业及配套工程项目一标段)成都市龙泉驿外东洪路地铁2号线惠王陵地铁C口</v>
      </c>
      <c r="J4037" s="120" t="str">
        <f>VLOOKUP(B4037,辅助信息!E:I,4,FALSE)</f>
        <v>岳工</v>
      </c>
      <c r="K4037" s="120">
        <f>VLOOKUP(J4037,辅助信息!H:I,2,FALSE)</f>
        <v>18599951655</v>
      </c>
      <c r="L4037" s="122">
        <f>VLOOKUP(B4037,辅助信息!E:J,6,FALSE)</f>
        <v>0</v>
      </c>
      <c r="M4037" s="148">
        <v>45929</v>
      </c>
      <c r="O4037" s="62">
        <f ca="1" t="shared" si="208"/>
        <v>0</v>
      </c>
      <c r="P4037" s="62">
        <f ca="1" t="shared" si="209"/>
        <v>31</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6" t="s">
        <v>225</v>
      </c>
      <c r="C4038" s="70">
        <v>45929</v>
      </c>
      <c r="D4038" s="120" t="str">
        <f>VLOOKUP(B4038,辅助信息!E:K,7,FALSE)</f>
        <v>JWDDCD2025092400210</v>
      </c>
      <c r="E4038" s="120" t="str">
        <f>VLOOKUP(F4038,辅助信息!A:B,2,FALSE)</f>
        <v>螺纹钢</v>
      </c>
      <c r="F4038" s="120" t="s">
        <v>28</v>
      </c>
      <c r="G4038" s="121">
        <v>20</v>
      </c>
      <c r="H4038" s="134">
        <f>IF(SUMIFS('[1]2025年已发货'!$E:$E,'[1]2025年已发货'!$F:$F,C4038,'[1]2025年已发货'!$C:$C,F4038,'[1]2025年已发货'!$G:$G,I4038,'[1]2025年已发货'!$H:$H,J4038)=0,"未发货",SUMIFS('[1]2025年已发货'!$E:$E,'[1]2025年已发货'!$F:$F,C4038,'[1]2025年已发货'!$C:$C,F4038,'[1]2025年已发货'!$G:$G,I4038,'[1]2025年已发货'!$H:$H,J4038))</f>
        <v>20</v>
      </c>
      <c r="I4038" s="120" t="str">
        <f>VLOOKUP(B4038,辅助信息!E:I,3,FALSE)</f>
        <v>(五冶钢构龙泉东洪片区85亩住宅、商业及配套工程项目一标段)成都市龙泉驿外东洪路地铁2号线惠王陵地铁C口</v>
      </c>
      <c r="J4038" s="120" t="str">
        <f>VLOOKUP(B4038,辅助信息!E:I,4,FALSE)</f>
        <v>岳工</v>
      </c>
      <c r="K4038" s="120">
        <f>VLOOKUP(J4038,辅助信息!H:I,2,FALSE)</f>
        <v>18599951655</v>
      </c>
      <c r="L4038" s="122">
        <f>VLOOKUP(B4038,辅助信息!E:J,6,FALSE)</f>
        <v>0</v>
      </c>
      <c r="M4038" s="148">
        <v>45929</v>
      </c>
      <c r="O4038" s="62">
        <f ca="1" t="shared" si="208"/>
        <v>0</v>
      </c>
      <c r="P4038" s="62">
        <f ca="1" t="shared" si="209"/>
        <v>31</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6" t="s">
        <v>230</v>
      </c>
      <c r="C4039" s="70">
        <v>45929</v>
      </c>
      <c r="D4039" s="120" t="str">
        <f>VLOOKUP(B4039,辅助信息!E:K,7,FALSE)</f>
        <v>JWDDCD2025102100481</v>
      </c>
      <c r="E4039" s="120" t="str">
        <f>VLOOKUP(F4039,辅助信息!A:B,2,FALSE)</f>
        <v>螺纹钢</v>
      </c>
      <c r="F4039" s="120" t="s">
        <v>18</v>
      </c>
      <c r="G4039" s="121">
        <v>9</v>
      </c>
      <c r="H4039" s="134"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0" t="str">
        <f>VLOOKUP(B4039,辅助信息!E:I,3,FALSE)</f>
        <v>(五冶建设成都盐道街中学初中部改扩建工程-二标)四川省成都市锦江区春熙路街道盐道街4号（盐道街中学初中部）</v>
      </c>
      <c r="J4039" s="120" t="str">
        <f>VLOOKUP(B4039,辅助信息!E:I,4,FALSE)</f>
        <v>谢鑫</v>
      </c>
      <c r="K4039" s="120">
        <f>VLOOKUP(J4039,辅助信息!H:I,2,FALSE)</f>
        <v>18228465067</v>
      </c>
      <c r="L4039" s="122" t="str">
        <f>VLOOKUP(B4039,辅助信息!E:J,6,FALSE)</f>
        <v>联系实际收货人（易前刚18228465067）五冶建设送货单,6份材质书,锈货不收，装货前联系收货人核实到场规格,没提前告知进场规格现场不给予接收</v>
      </c>
      <c r="M4039" s="148">
        <v>45929</v>
      </c>
      <c r="O4039" s="62">
        <f ca="1" t="shared" si="208"/>
        <v>0</v>
      </c>
      <c r="P4039" s="62">
        <f ca="1" t="shared" si="209"/>
        <v>31</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6" t="s">
        <v>230</v>
      </c>
      <c r="C4040" s="70">
        <v>45929</v>
      </c>
      <c r="D4040" s="120" t="str">
        <f>VLOOKUP(B4040,辅助信息!E:K,7,FALSE)</f>
        <v>JWDDCD2025102100481</v>
      </c>
      <c r="E4040" s="120" t="str">
        <f>VLOOKUP(F4040,辅助信息!A:B,2,FALSE)</f>
        <v>盘螺</v>
      </c>
      <c r="F4040" s="120" t="s">
        <v>41</v>
      </c>
      <c r="G4040" s="121">
        <v>2</v>
      </c>
      <c r="H4040" s="134"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0" t="str">
        <f>VLOOKUP(B4040,辅助信息!E:I,3,FALSE)</f>
        <v>(五冶建设成都盐道街中学初中部改扩建工程-二标)四川省成都市锦江区春熙路街道盐道街4号（盐道街中学初中部）</v>
      </c>
      <c r="J4040" s="120" t="str">
        <f>VLOOKUP(B4040,辅助信息!E:I,4,FALSE)</f>
        <v>谢鑫</v>
      </c>
      <c r="K4040" s="120">
        <f>VLOOKUP(J4040,辅助信息!H:I,2,FALSE)</f>
        <v>18228465067</v>
      </c>
      <c r="L4040" s="122" t="str">
        <f>VLOOKUP(B4040,辅助信息!E:J,6,FALSE)</f>
        <v>联系实际收货人（易前刚18228465067）五冶建设送货单,6份材质书,锈货不收，装货前联系收货人核实到场规格,没提前告知进场规格现场不给予接收</v>
      </c>
      <c r="M4040" s="148">
        <v>45929</v>
      </c>
      <c r="O4040" s="62">
        <f ca="1" t="shared" si="208"/>
        <v>0</v>
      </c>
      <c r="P4040" s="62">
        <f ca="1" t="shared" si="209"/>
        <v>31</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6" t="s">
        <v>230</v>
      </c>
      <c r="C4041" s="70">
        <v>45929</v>
      </c>
      <c r="D4041" s="120" t="str">
        <f>VLOOKUP(B4041,辅助信息!E:K,7,FALSE)</f>
        <v>JWDDCD2025102100481</v>
      </c>
      <c r="E4041" s="120" t="str">
        <f>VLOOKUP(F4041,辅助信息!A:B,2,FALSE)</f>
        <v>盘螺</v>
      </c>
      <c r="F4041" s="120" t="s">
        <v>40</v>
      </c>
      <c r="G4041" s="121">
        <v>2</v>
      </c>
      <c r="H4041" s="134"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0" t="str">
        <f>VLOOKUP(B4041,辅助信息!E:I,3,FALSE)</f>
        <v>(五冶建设成都盐道街中学初中部改扩建工程-二标)四川省成都市锦江区春熙路街道盐道街4号（盐道街中学初中部）</v>
      </c>
      <c r="J4041" s="120" t="str">
        <f>VLOOKUP(B4041,辅助信息!E:I,4,FALSE)</f>
        <v>谢鑫</v>
      </c>
      <c r="K4041" s="120">
        <f>VLOOKUP(J4041,辅助信息!H:I,2,FALSE)</f>
        <v>18228465067</v>
      </c>
      <c r="L4041" s="122" t="str">
        <f>VLOOKUP(B4041,辅助信息!E:J,6,FALSE)</f>
        <v>联系实际收货人（易前刚18228465067）五冶建设送货单,6份材质书,锈货不收，装货前联系收货人核实到场规格,没提前告知进场规格现场不给予接收</v>
      </c>
      <c r="M4041" s="148">
        <v>45929</v>
      </c>
      <c r="O4041" s="62">
        <f ca="1" t="shared" si="208"/>
        <v>0</v>
      </c>
      <c r="P4041" s="62">
        <f ca="1" t="shared" si="209"/>
        <v>31</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6" t="s">
        <v>231</v>
      </c>
      <c r="C4042" s="70">
        <v>45929</v>
      </c>
      <c r="D4042" s="120" t="str">
        <f>VLOOKUP(B4042,辅助信息!E:K,7,FALSE)</f>
        <v>JWDDCD2025102100481</v>
      </c>
      <c r="E4042" s="120" t="str">
        <f>VLOOKUP(F4042,辅助信息!A:B,2,FALSE)</f>
        <v>螺纹钢</v>
      </c>
      <c r="F4042" s="120" t="s">
        <v>19</v>
      </c>
      <c r="G4042" s="121">
        <v>24</v>
      </c>
      <c r="H4042" s="134"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0" t="str">
        <f>VLOOKUP(B4042,辅助信息!E:I,3,FALSE)</f>
        <v>(五冶建设成都盐道街中学初中部改扩建工程-一标)四川省成都市锦江区春熙路街道盐道街4号（盐道街中学初中部）</v>
      </c>
      <c r="J4042" s="120" t="str">
        <f>VLOOKUP(B4042,辅助信息!E:I,4,FALSE)</f>
        <v>谢鑫</v>
      </c>
      <c r="K4042" s="120">
        <f>VLOOKUP(J4042,辅助信息!H:I,2,FALSE)</f>
        <v>18228465067</v>
      </c>
      <c r="L4042" s="122" t="str">
        <f>VLOOKUP(B4042,辅助信息!E:J,6,FALSE)</f>
        <v>联系实际收货人（易前刚18228465067）五冶建设送货单,6份材质书,锈货不收，装货前联系收货人核实到场规格,没提前告知进场规格现场不给予接收</v>
      </c>
      <c r="M4042" s="148">
        <v>45929</v>
      </c>
      <c r="O4042" s="62">
        <f ca="1" t="shared" si="208"/>
        <v>0</v>
      </c>
      <c r="P4042" s="62">
        <f ca="1" t="shared" si="209"/>
        <v>31</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6" t="s">
        <v>231</v>
      </c>
      <c r="C4043" s="70">
        <v>45929</v>
      </c>
      <c r="D4043" s="120" t="str">
        <f>VLOOKUP(B4043,辅助信息!E:K,7,FALSE)</f>
        <v>JWDDCD2025102100481</v>
      </c>
      <c r="E4043" s="120" t="str">
        <f>VLOOKUP(F4043,辅助信息!A:B,2,FALSE)</f>
        <v>螺纹钢</v>
      </c>
      <c r="F4043" s="120" t="s">
        <v>32</v>
      </c>
      <c r="G4043" s="121">
        <v>6</v>
      </c>
      <c r="H4043" s="134"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0" t="str">
        <f>VLOOKUP(B4043,辅助信息!E:I,3,FALSE)</f>
        <v>(五冶建设成都盐道街中学初中部改扩建工程-一标)四川省成都市锦江区春熙路街道盐道街4号（盐道街中学初中部）</v>
      </c>
      <c r="J4043" s="120" t="str">
        <f>VLOOKUP(B4043,辅助信息!E:I,4,FALSE)</f>
        <v>谢鑫</v>
      </c>
      <c r="K4043" s="120">
        <f>VLOOKUP(J4043,辅助信息!H:I,2,FALSE)</f>
        <v>18228465067</v>
      </c>
      <c r="L4043" s="122" t="str">
        <f>VLOOKUP(B4043,辅助信息!E:J,6,FALSE)</f>
        <v>联系实际收货人（易前刚18228465067）五冶建设送货单,6份材质书,锈货不收，装货前联系收货人核实到场规格,没提前告知进场规格现场不给予接收</v>
      </c>
      <c r="M4043" s="148">
        <v>45929</v>
      </c>
      <c r="O4043" s="62">
        <f ca="1" t="shared" si="208"/>
        <v>0</v>
      </c>
      <c r="P4043" s="62">
        <f ca="1" t="shared" si="209"/>
        <v>31</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6" t="s">
        <v>231</v>
      </c>
      <c r="C4044" s="70">
        <v>45929</v>
      </c>
      <c r="D4044" s="120" t="str">
        <f>VLOOKUP(B4044,辅助信息!E:K,7,FALSE)</f>
        <v>JWDDCD2025102100481</v>
      </c>
      <c r="E4044" s="120" t="str">
        <f>VLOOKUP(F4044,辅助信息!A:B,2,FALSE)</f>
        <v>螺纹钢</v>
      </c>
      <c r="F4044" s="120" t="s">
        <v>28</v>
      </c>
      <c r="G4044" s="121">
        <v>64</v>
      </c>
      <c r="H4044" s="134"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0" t="str">
        <f>VLOOKUP(B4044,辅助信息!E:I,3,FALSE)</f>
        <v>(五冶建设成都盐道街中学初中部改扩建工程-一标)四川省成都市锦江区春熙路街道盐道街4号（盐道街中学初中部）</v>
      </c>
      <c r="J4044" s="120" t="str">
        <f>VLOOKUP(B4044,辅助信息!E:I,4,FALSE)</f>
        <v>谢鑫</v>
      </c>
      <c r="K4044" s="120">
        <f>VLOOKUP(J4044,辅助信息!H:I,2,FALSE)</f>
        <v>18228465067</v>
      </c>
      <c r="L4044" s="122" t="str">
        <f>VLOOKUP(B4044,辅助信息!E:J,6,FALSE)</f>
        <v>联系实际收货人（易前刚18228465067）五冶建设送货单,6份材质书,锈货不收，装货前联系收货人核实到场规格,没提前告知进场规格现场不给予接收</v>
      </c>
      <c r="M4044" s="148">
        <v>45929</v>
      </c>
      <c r="O4044" s="62">
        <f ca="1" t="shared" si="208"/>
        <v>0</v>
      </c>
      <c r="P4044" s="62">
        <f ca="1" t="shared" si="209"/>
        <v>31</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6" t="s">
        <v>231</v>
      </c>
      <c r="C4045" s="70">
        <v>45929</v>
      </c>
      <c r="D4045" s="120" t="str">
        <f>VLOOKUP(B4045,辅助信息!E:K,7,FALSE)</f>
        <v>JWDDCD2025102100481</v>
      </c>
      <c r="E4045" s="120" t="str">
        <f>VLOOKUP(F4045,辅助信息!A:B,2,FALSE)</f>
        <v>盘螺</v>
      </c>
      <c r="F4045" s="120" t="s">
        <v>49</v>
      </c>
      <c r="G4045" s="121">
        <v>2</v>
      </c>
      <c r="H4045" s="134"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0" t="str">
        <f>VLOOKUP(B4045,辅助信息!E:I,3,FALSE)</f>
        <v>(五冶建设成都盐道街中学初中部改扩建工程-一标)四川省成都市锦江区春熙路街道盐道街4号（盐道街中学初中部）</v>
      </c>
      <c r="J4045" s="120" t="str">
        <f>VLOOKUP(B4045,辅助信息!E:I,4,FALSE)</f>
        <v>谢鑫</v>
      </c>
      <c r="K4045" s="120">
        <f>VLOOKUP(J4045,辅助信息!H:I,2,FALSE)</f>
        <v>18228465067</v>
      </c>
      <c r="L4045" s="122" t="str">
        <f>VLOOKUP(B4045,辅助信息!E:J,6,FALSE)</f>
        <v>联系实际收货人（易前刚18228465067）五冶建设送货单,6份材质书,锈货不收，装货前联系收货人核实到场规格,没提前告知进场规格现场不给予接收</v>
      </c>
      <c r="M4045" s="148">
        <v>45929</v>
      </c>
      <c r="O4045" s="62">
        <f ca="1" t="shared" si="208"/>
        <v>0</v>
      </c>
      <c r="P4045" s="62">
        <f ca="1" t="shared" si="209"/>
        <v>31</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6" t="s">
        <v>167</v>
      </c>
      <c r="C4046" s="70">
        <v>45929</v>
      </c>
      <c r="D4046" s="120" t="str">
        <f>VLOOKUP(B4046,辅助信息!E:K,7,FALSE)</f>
        <v>JWDDCD2025102100473</v>
      </c>
      <c r="E4046" s="120" t="str">
        <f>VLOOKUP(F4046,辅助信息!A:B,2,FALSE)</f>
        <v>螺纹钢</v>
      </c>
      <c r="F4046" s="120" t="s">
        <v>21</v>
      </c>
      <c r="G4046" s="121">
        <v>5</v>
      </c>
      <c r="H4046" s="134"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0" t="str">
        <f>VLOOKUP(B4046,辅助信息!E:I,3,FALSE)</f>
        <v>(五冶建设扩建艺体中学二期工程)四川省成都市双流区光荣路成都艺体中学南200米</v>
      </c>
      <c r="J4046" s="120" t="str">
        <f>VLOOKUP(B4046,辅助信息!E:I,4,FALSE)</f>
        <v>谢序强</v>
      </c>
      <c r="K4046" s="120">
        <f>VLOOKUP(J4046,辅助信息!H:I,2,FALSE)</f>
        <v>13458588232</v>
      </c>
      <c r="L4046" s="122"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8">
        <v>45929</v>
      </c>
      <c r="O4046" s="62">
        <f ca="1" t="shared" si="208"/>
        <v>0</v>
      </c>
      <c r="P4046" s="62">
        <f ca="1" t="shared" si="209"/>
        <v>31</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6" t="s">
        <v>167</v>
      </c>
      <c r="C4047" s="70">
        <v>45929</v>
      </c>
      <c r="D4047" s="120" t="str">
        <f>VLOOKUP(B4047,辅助信息!E:K,7,FALSE)</f>
        <v>JWDDCD2025102100473</v>
      </c>
      <c r="E4047" s="120" t="str">
        <f>VLOOKUP(F4047,辅助信息!A:B,2,FALSE)</f>
        <v>螺纹钢</v>
      </c>
      <c r="F4047" s="120" t="s">
        <v>46</v>
      </c>
      <c r="G4047" s="121">
        <v>5</v>
      </c>
      <c r="H4047" s="134"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0" t="str">
        <f>VLOOKUP(B4047,辅助信息!E:I,3,FALSE)</f>
        <v>(五冶建设扩建艺体中学二期工程)四川省成都市双流区光荣路成都艺体中学南200米</v>
      </c>
      <c r="J4047" s="120" t="str">
        <f>VLOOKUP(B4047,辅助信息!E:I,4,FALSE)</f>
        <v>谢序强</v>
      </c>
      <c r="K4047" s="120">
        <f>VLOOKUP(J4047,辅助信息!H:I,2,FALSE)</f>
        <v>13458588232</v>
      </c>
      <c r="L4047" s="122"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8">
        <v>45929</v>
      </c>
      <c r="O4047" s="62">
        <f ca="1" t="shared" si="208"/>
        <v>0</v>
      </c>
      <c r="P4047" s="62">
        <f ca="1" t="shared" si="209"/>
        <v>31</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6" t="s">
        <v>167</v>
      </c>
      <c r="C4048" s="70">
        <v>45929</v>
      </c>
      <c r="D4048" s="120" t="str">
        <f>VLOOKUP(B4048,辅助信息!E:K,7,FALSE)</f>
        <v>JWDDCD2025102100473</v>
      </c>
      <c r="E4048" s="120" t="str">
        <f>VLOOKUP(F4048,辅助信息!A:B,2,FALSE)</f>
        <v>螺纹钢</v>
      </c>
      <c r="F4048" s="120" t="s">
        <v>22</v>
      </c>
      <c r="G4048" s="121">
        <v>35</v>
      </c>
      <c r="H4048" s="134"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0" t="str">
        <f>VLOOKUP(B4048,辅助信息!E:I,3,FALSE)</f>
        <v>(五冶建设扩建艺体中学二期工程)四川省成都市双流区光荣路成都艺体中学南200米</v>
      </c>
      <c r="J4048" s="120" t="str">
        <f>VLOOKUP(B4048,辅助信息!E:I,4,FALSE)</f>
        <v>谢序强</v>
      </c>
      <c r="K4048" s="120">
        <f>VLOOKUP(J4048,辅助信息!H:I,2,FALSE)</f>
        <v>13458588232</v>
      </c>
      <c r="L4048" s="122"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8">
        <v>45929</v>
      </c>
      <c r="O4048" s="62">
        <f ca="1" t="shared" si="208"/>
        <v>0</v>
      </c>
      <c r="P4048" s="62">
        <f ca="1" t="shared" si="209"/>
        <v>31</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6" t="s">
        <v>167</v>
      </c>
      <c r="C4049" s="70">
        <v>45929</v>
      </c>
      <c r="D4049" s="120" t="str">
        <f>VLOOKUP(B4049,辅助信息!E:K,7,FALSE)</f>
        <v>JWDDCD2025102100473</v>
      </c>
      <c r="E4049" s="120" t="str">
        <f>VLOOKUP(F4049,辅助信息!A:B,2,FALSE)</f>
        <v>螺纹钢</v>
      </c>
      <c r="F4049" s="120" t="s">
        <v>181</v>
      </c>
      <c r="G4049" s="121">
        <v>10</v>
      </c>
      <c r="H4049" s="134"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0" t="str">
        <f>VLOOKUP(B4049,辅助信息!E:I,3,FALSE)</f>
        <v>(五冶建设扩建艺体中学二期工程)四川省成都市双流区光荣路成都艺体中学南200米</v>
      </c>
      <c r="J4049" s="120" t="str">
        <f>VLOOKUP(B4049,辅助信息!E:I,4,FALSE)</f>
        <v>谢序强</v>
      </c>
      <c r="K4049" s="120">
        <f>VLOOKUP(J4049,辅助信息!H:I,2,FALSE)</f>
        <v>13458588232</v>
      </c>
      <c r="L4049" s="122"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8">
        <v>45929</v>
      </c>
      <c r="O4049" s="62">
        <f ca="1" t="shared" si="208"/>
        <v>0</v>
      </c>
      <c r="P4049" s="62">
        <f ca="1" t="shared" si="209"/>
        <v>31</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6" t="s">
        <v>167</v>
      </c>
      <c r="C4050" s="70">
        <v>45929</v>
      </c>
      <c r="D4050" s="120" t="str">
        <f>VLOOKUP(B4050,辅助信息!E:K,7,FALSE)</f>
        <v>JWDDCD2025102100473</v>
      </c>
      <c r="E4050" s="120" t="str">
        <f>VLOOKUP(F4050,辅助信息!A:B,2,FALSE)</f>
        <v>螺纹钢</v>
      </c>
      <c r="F4050" s="120" t="s">
        <v>182</v>
      </c>
      <c r="G4050" s="121">
        <f>43-28</f>
        <v>15</v>
      </c>
      <c r="H4050" s="134"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0" t="str">
        <f>VLOOKUP(B4050,辅助信息!E:I,3,FALSE)</f>
        <v>(五冶建设扩建艺体中学二期工程)四川省成都市双流区光荣路成都艺体中学南200米</v>
      </c>
      <c r="J4050" s="120" t="str">
        <f>VLOOKUP(B4050,辅助信息!E:I,4,FALSE)</f>
        <v>谢序强</v>
      </c>
      <c r="K4050" s="120">
        <f>VLOOKUP(J4050,辅助信息!H:I,2,FALSE)</f>
        <v>13458588232</v>
      </c>
      <c r="L4050" s="122"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8">
        <v>45929</v>
      </c>
      <c r="O4050" s="62">
        <f ca="1" t="shared" si="208"/>
        <v>0</v>
      </c>
      <c r="P4050" s="62">
        <f ca="1" t="shared" si="209"/>
        <v>31</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6" t="s">
        <v>167</v>
      </c>
      <c r="C4051" s="70">
        <v>45929</v>
      </c>
      <c r="D4051" s="120" t="str">
        <f>VLOOKUP(B4051,辅助信息!E:K,7,FALSE)</f>
        <v>JWDDCD2025102100473</v>
      </c>
      <c r="E4051" s="120" t="str">
        <f>VLOOKUP(F4051,辅助信息!A:B,2,FALSE)</f>
        <v>盘螺</v>
      </c>
      <c r="F4051" s="120" t="s">
        <v>41</v>
      </c>
      <c r="G4051" s="121">
        <v>20</v>
      </c>
      <c r="H4051" s="134"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0" t="str">
        <f>VLOOKUP(B4051,辅助信息!E:I,3,FALSE)</f>
        <v>(五冶建设扩建艺体中学二期工程)四川省成都市双流区光荣路成都艺体中学南200米</v>
      </c>
      <c r="J4051" s="120" t="str">
        <f>VLOOKUP(B4051,辅助信息!E:I,4,FALSE)</f>
        <v>谢序强</v>
      </c>
      <c r="K4051" s="120">
        <f>VLOOKUP(J4051,辅助信息!H:I,2,FALSE)</f>
        <v>13458588232</v>
      </c>
      <c r="L4051" s="122"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8">
        <v>45929</v>
      </c>
      <c r="O4051" s="62">
        <f ca="1" t="shared" si="208"/>
        <v>0</v>
      </c>
      <c r="P4051" s="62">
        <f ca="1" t="shared" si="209"/>
        <v>31</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6" t="s">
        <v>167</v>
      </c>
      <c r="C4052" s="70">
        <v>45929</v>
      </c>
      <c r="D4052" s="120" t="str">
        <f>VLOOKUP(B4052,辅助信息!E:K,7,FALSE)</f>
        <v>JWDDCD2025102100473</v>
      </c>
      <c r="E4052" s="120" t="str">
        <f>VLOOKUP(F4052,辅助信息!A:B,2,FALSE)</f>
        <v>盘螺</v>
      </c>
      <c r="F4052" s="120" t="s">
        <v>40</v>
      </c>
      <c r="G4052" s="121">
        <v>10</v>
      </c>
      <c r="H4052" s="134"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0" t="str">
        <f>VLOOKUP(B4052,辅助信息!E:I,3,FALSE)</f>
        <v>(五冶建设扩建艺体中学二期工程)四川省成都市双流区光荣路成都艺体中学南200米</v>
      </c>
      <c r="J4052" s="120" t="str">
        <f>VLOOKUP(B4052,辅助信息!E:I,4,FALSE)</f>
        <v>谢序强</v>
      </c>
      <c r="K4052" s="120">
        <f>VLOOKUP(J4052,辅助信息!H:I,2,FALSE)</f>
        <v>13458588232</v>
      </c>
      <c r="L4052" s="122"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8">
        <v>45929</v>
      </c>
      <c r="O4052" s="62">
        <f ca="1" t="shared" si="208"/>
        <v>0</v>
      </c>
      <c r="P4052" s="62">
        <f ca="1" t="shared" si="209"/>
        <v>31</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6" t="s">
        <v>215</v>
      </c>
      <c r="C4053" s="70">
        <v>45929</v>
      </c>
      <c r="D4053" s="120" t="str">
        <f>VLOOKUP(B4053,辅助信息!E:K,7,FALSE)</f>
        <v>JWDDCD2025102100486</v>
      </c>
      <c r="E4053" s="120" t="str">
        <f>VLOOKUP(F4053,辅助信息!A:B,2,FALSE)</f>
        <v>螺纹钢</v>
      </c>
      <c r="F4053" s="120" t="s">
        <v>27</v>
      </c>
      <c r="G4053" s="121">
        <v>15</v>
      </c>
      <c r="H4053" s="134">
        <f>IF(SUMIFS('[1]2025年已发货'!$E:$E,'[1]2025年已发货'!$F:$F,C4053,'[1]2025年已发货'!$C:$C,F4053,'[1]2025年已发货'!$G:$G,I4053,'[1]2025年已发货'!$H:$H,J4053)=0,"未发货",SUMIFS('[1]2025年已发货'!$E:$E,'[1]2025年已发货'!$F:$F,C4053,'[1]2025年已发货'!$C:$C,F4053,'[1]2025年已发货'!$G:$G,I4053,'[1]2025年已发货'!$H:$H,J4053))</f>
        <v>15</v>
      </c>
      <c r="I4053" s="120" t="str">
        <f>VLOOKUP(B4053,辅助信息!E:I,3,FALSE)</f>
        <v>(五冶建设龙泉驿一医院配套建设工程)成都市龙泉驿区董朗路69号龙泉驿一医院5号门</v>
      </c>
      <c r="J4053" s="120" t="str">
        <f>VLOOKUP(B4053,辅助信息!E:I,4,FALSE)</f>
        <v>孙敏</v>
      </c>
      <c r="K4053" s="120">
        <f>VLOOKUP(J4053,辅助信息!H:I,2,FALSE)</f>
        <v>13617695006</v>
      </c>
      <c r="L4053" s="122" t="str">
        <f>VLOOKUP(B4053,辅助信息!E:J,6,FALSE)</f>
        <v>联系实际收货人（孙敏13617695006）五冶建设送货单,6份材质书,锈货不收，装货前联系收货人核实到场规格,没提前告知进场规格现场不给予接收</v>
      </c>
      <c r="O4053" s="62" t="str">
        <f ca="1" t="shared" si="208"/>
        <v/>
      </c>
      <c r="P4053" s="62"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6" t="s">
        <v>215</v>
      </c>
      <c r="C4054" s="70">
        <v>45929</v>
      </c>
      <c r="D4054" s="120" t="str">
        <f>VLOOKUP(B4054,辅助信息!E:K,7,FALSE)</f>
        <v>JWDDCD2025102100486</v>
      </c>
      <c r="E4054" s="120" t="str">
        <f>VLOOKUP(F4054,辅助信息!A:B,2,FALSE)</f>
        <v>螺纹钢</v>
      </c>
      <c r="F4054" s="120" t="s">
        <v>28</v>
      </c>
      <c r="G4054" s="121">
        <v>5</v>
      </c>
      <c r="H4054" s="134">
        <f>IF(SUMIFS('[1]2025年已发货'!$E:$E,'[1]2025年已发货'!$F:$F,C4054,'[1]2025年已发货'!$C:$C,F4054,'[1]2025年已发货'!$G:$G,I4054,'[1]2025年已发货'!$H:$H,J4054)=0,"未发货",SUMIFS('[1]2025年已发货'!$E:$E,'[1]2025年已发货'!$F:$F,C4054,'[1]2025年已发货'!$C:$C,F4054,'[1]2025年已发货'!$G:$G,I4054,'[1]2025年已发货'!$H:$H,J4054))</f>
        <v>5</v>
      </c>
      <c r="I4054" s="120" t="str">
        <f>VLOOKUP(B4054,辅助信息!E:I,3,FALSE)</f>
        <v>(五冶建设龙泉驿一医院配套建设工程)成都市龙泉驿区董朗路69号龙泉驿一医院5号门</v>
      </c>
      <c r="J4054" s="120" t="str">
        <f>VLOOKUP(B4054,辅助信息!E:I,4,FALSE)</f>
        <v>孙敏</v>
      </c>
      <c r="K4054" s="120">
        <f>VLOOKUP(J4054,辅助信息!H:I,2,FALSE)</f>
        <v>13617695006</v>
      </c>
      <c r="L4054" s="122" t="str">
        <f>VLOOKUP(B4054,辅助信息!E:J,6,FALSE)</f>
        <v>联系实际收货人（孙敏13617695006）五冶建设送货单,6份材质书,锈货不收，装货前联系收货人核实到场规格,没提前告知进场规格现场不给予接收</v>
      </c>
      <c r="O4054" s="62" t="str">
        <f ca="1" t="shared" si="208"/>
        <v/>
      </c>
      <c r="P4054" s="62"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6" t="s">
        <v>215</v>
      </c>
      <c r="C4055" s="70">
        <v>45929</v>
      </c>
      <c r="D4055" s="120" t="str">
        <f>VLOOKUP(B4055,辅助信息!E:K,7,FALSE)</f>
        <v>JWDDCD2025102100486</v>
      </c>
      <c r="E4055" s="120" t="str">
        <f>VLOOKUP(F4055,辅助信息!A:B,2,FALSE)</f>
        <v>螺纹钢</v>
      </c>
      <c r="F4055" s="120" t="s">
        <v>18</v>
      </c>
      <c r="G4055" s="121">
        <v>6</v>
      </c>
      <c r="H4055" s="134">
        <f>IF(SUMIFS('[1]2025年已发货'!$E:$E,'[1]2025年已发货'!$F:$F,C4055,'[1]2025年已发货'!$C:$C,F4055,'[1]2025年已发货'!$G:$G,I4055,'[1]2025年已发货'!$H:$H,J4055)=0,"未发货",SUMIFS('[1]2025年已发货'!$E:$E,'[1]2025年已发货'!$F:$F,C4055,'[1]2025年已发货'!$C:$C,F4055,'[1]2025年已发货'!$G:$G,I4055,'[1]2025年已发货'!$H:$H,J4055))</f>
        <v>6</v>
      </c>
      <c r="I4055" s="120" t="str">
        <f>VLOOKUP(B4055,辅助信息!E:I,3,FALSE)</f>
        <v>(五冶建设龙泉驿一医院配套建设工程)成都市龙泉驿区董朗路69号龙泉驿一医院5号门</v>
      </c>
      <c r="J4055" s="120" t="str">
        <f>VLOOKUP(B4055,辅助信息!E:I,4,FALSE)</f>
        <v>孙敏</v>
      </c>
      <c r="K4055" s="120">
        <f>VLOOKUP(J4055,辅助信息!H:I,2,FALSE)</f>
        <v>13617695006</v>
      </c>
      <c r="L4055" s="122" t="str">
        <f>VLOOKUP(B4055,辅助信息!E:J,6,FALSE)</f>
        <v>联系实际收货人（孙敏13617695006）五冶建设送货单,6份材质书,锈货不收，装货前联系收货人核实到场规格,没提前告知进场规格现场不给予接收</v>
      </c>
      <c r="O4055" s="62" t="str">
        <f ca="1" t="shared" si="208"/>
        <v/>
      </c>
      <c r="P4055" s="62"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6" t="s">
        <v>215</v>
      </c>
      <c r="C4056" s="70">
        <v>45929</v>
      </c>
      <c r="D4056" s="120" t="str">
        <f>VLOOKUP(B4056,辅助信息!E:K,7,FALSE)</f>
        <v>JWDDCD2025102100486</v>
      </c>
      <c r="E4056" s="120" t="str">
        <f>VLOOKUP(F4056,辅助信息!A:B,2,FALSE)</f>
        <v>螺纹钢</v>
      </c>
      <c r="F4056" s="120" t="s">
        <v>22</v>
      </c>
      <c r="G4056" s="121">
        <v>9</v>
      </c>
      <c r="H4056" s="134">
        <f>IF(SUMIFS('[1]2025年已发货'!$E:$E,'[1]2025年已发货'!$F:$F,C4056,'[1]2025年已发货'!$C:$C,F4056,'[1]2025年已发货'!$G:$G,I4056,'[1]2025年已发货'!$H:$H,J4056)=0,"未发货",SUMIFS('[1]2025年已发货'!$E:$E,'[1]2025年已发货'!$F:$F,C4056,'[1]2025年已发货'!$C:$C,F4056,'[1]2025年已发货'!$G:$G,I4056,'[1]2025年已发货'!$H:$H,J4056))</f>
        <v>9</v>
      </c>
      <c r="I4056" s="120" t="str">
        <f>VLOOKUP(B4056,辅助信息!E:I,3,FALSE)</f>
        <v>(五冶建设龙泉驿一医院配套建设工程)成都市龙泉驿区董朗路69号龙泉驿一医院5号门</v>
      </c>
      <c r="J4056" s="120" t="str">
        <f>VLOOKUP(B4056,辅助信息!E:I,4,FALSE)</f>
        <v>孙敏</v>
      </c>
      <c r="K4056" s="120">
        <f>VLOOKUP(J4056,辅助信息!H:I,2,FALSE)</f>
        <v>13617695006</v>
      </c>
      <c r="L4056" s="122" t="str">
        <f>VLOOKUP(B4056,辅助信息!E:J,6,FALSE)</f>
        <v>联系实际收货人（孙敏13617695006）五冶建设送货单,6份材质书,锈货不收，装货前联系收货人核实到场规格,没提前告知进场规格现场不给予接收</v>
      </c>
      <c r="O4056" s="62" t="str">
        <f ca="1" t="shared" si="208"/>
        <v/>
      </c>
      <c r="P4056" s="62"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6" t="s">
        <v>204</v>
      </c>
      <c r="C4057" s="70">
        <v>45929</v>
      </c>
      <c r="D4057" s="120" t="str">
        <f>VLOOKUP(B4057,辅助信息!E:K,7,FALSE)</f>
        <v>JWDDCD2025062200016</v>
      </c>
      <c r="E4057" s="120" t="str">
        <f>VLOOKUP(F4057,辅助信息!A:B,2,FALSE)</f>
        <v>螺纹钢</v>
      </c>
      <c r="F4057" s="120" t="s">
        <v>30</v>
      </c>
      <c r="G4057" s="121">
        <v>32</v>
      </c>
      <c r="H4057" s="134"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0" t="str">
        <f>VLOOKUP(B4057,辅助信息!E:I,3,FALSE)</f>
        <v>(武汉电气化局成达万高铁强电项目-达州主城区-达州南站)四川省达州市达川区达州南站</v>
      </c>
      <c r="J4057" s="120" t="str">
        <f>VLOOKUP(B4057,辅助信息!E:I,4,FALSE)</f>
        <v>杨人志</v>
      </c>
      <c r="K4057" s="120">
        <f>VLOOKUP(J4057,辅助信息!H:I,2,FALSE)</f>
        <v>18782679099</v>
      </c>
      <c r="L4057" s="122" t="str">
        <f>VLOOKUP(B4057,辅助信息!E:J,6,FALSE)</f>
        <v>锈货不收！！下雨天钢筋没盖篷布不收！！，装货前联系收货人核实到场规格,没提前告知进场规格现场不给予接收</v>
      </c>
      <c r="O4057" s="62" t="str">
        <f ca="1" t="shared" si="208"/>
        <v/>
      </c>
      <c r="P4057" s="62"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6" t="s">
        <v>204</v>
      </c>
      <c r="C4058" s="70">
        <v>45929</v>
      </c>
      <c r="D4058" s="120" t="str">
        <f>VLOOKUP(B4058,辅助信息!E:K,7,FALSE)</f>
        <v>JWDDCD2025062200016</v>
      </c>
      <c r="E4058" s="120" t="str">
        <f>VLOOKUP(F4058,辅助信息!A:B,2,FALSE)</f>
        <v>螺纹钢</v>
      </c>
      <c r="F4058" s="120" t="s">
        <v>28</v>
      </c>
      <c r="G4058" s="121">
        <v>3</v>
      </c>
      <c r="H4058" s="134"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0" t="str">
        <f>VLOOKUP(B4058,辅助信息!E:I,3,FALSE)</f>
        <v>(武汉电气化局成达万高铁强电项目-达州主城区-达州南站)四川省达州市达川区达州南站</v>
      </c>
      <c r="J4058" s="120" t="str">
        <f>VLOOKUP(B4058,辅助信息!E:I,4,FALSE)</f>
        <v>杨人志</v>
      </c>
      <c r="K4058" s="120">
        <f>VLOOKUP(J4058,辅助信息!H:I,2,FALSE)</f>
        <v>18782679099</v>
      </c>
      <c r="L4058" s="122" t="str">
        <f>VLOOKUP(B4058,辅助信息!E:J,6,FALSE)</f>
        <v>锈货不收！！下雨天钢筋没盖篷布不收！！，装货前联系收货人核实到场规格,没提前告知进场规格现场不给予接收</v>
      </c>
      <c r="O4058" s="62" t="str">
        <f ca="1" t="shared" si="208"/>
        <v/>
      </c>
      <c r="P4058" s="62"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6" t="s">
        <v>150</v>
      </c>
      <c r="C4059" s="70">
        <v>45929</v>
      </c>
      <c r="D4059" s="120" t="str">
        <f>VLOOKUP(B4059,辅助信息!E:K,7,FALSE)</f>
        <v>JWDDCD2025050800101</v>
      </c>
      <c r="E4059" s="120" t="str">
        <f>VLOOKUP(F4059,辅助信息!A:B,2,FALSE)</f>
        <v>盘螺</v>
      </c>
      <c r="F4059" s="120" t="s">
        <v>41</v>
      </c>
      <c r="G4059" s="121">
        <v>10</v>
      </c>
      <c r="H4059" s="134">
        <f>IF(SUMIFS('[1]2025年已发货'!$E:$E,'[1]2025年已发货'!$F:$F,C4059,'[1]2025年已发货'!$C:$C,F4059,'[1]2025年已发货'!$G:$G,I4059,'[1]2025年已发货'!$H:$H,J4059)=0,"未发货",SUMIFS('[1]2025年已发货'!$E:$E,'[1]2025年已发货'!$F:$F,C4059,'[1]2025年已发货'!$C:$C,F4059,'[1]2025年已发货'!$G:$G,I4059,'[1]2025年已发货'!$H:$H,J4059))</f>
        <v>10</v>
      </c>
      <c r="I4059" s="120" t="str">
        <f>VLOOKUP(B4059,辅助信息!E:I,3,FALSE)</f>
        <v>(中铁科研院宜宾泥溪项目)中铁科研院集团有限公司宜宾市泥溪东互通式立交下穿成贵客专铁路工程项目钢筋加工厂</v>
      </c>
      <c r="J4059" s="120" t="str">
        <f>VLOOKUP(B4059,辅助信息!E:I,4,FALSE)</f>
        <v>蔡鹏</v>
      </c>
      <c r="K4059" s="120">
        <f>VLOOKUP(J4059,辅助信息!H:I,2,FALSE)</f>
        <v>19130850820</v>
      </c>
      <c r="L4059" s="122" t="str">
        <f>VLOOKUP(B4059,辅助信息!E:J,6,FALSE)</f>
        <v>装货前联系收货人核实到场规格，货物最下面用方木垫下方便卸货</v>
      </c>
      <c r="O4059" s="62" t="str">
        <f ca="1" t="shared" si="208"/>
        <v/>
      </c>
      <c r="P4059" s="62"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6" t="s">
        <v>150</v>
      </c>
      <c r="C4060" s="70">
        <v>45929</v>
      </c>
      <c r="D4060" s="120" t="str">
        <f>VLOOKUP(B4060,辅助信息!E:K,7,FALSE)</f>
        <v>JWDDCD2025050800101</v>
      </c>
      <c r="E4060" s="120" t="str">
        <f>VLOOKUP(F4060,辅助信息!A:B,2,FALSE)</f>
        <v>盘螺</v>
      </c>
      <c r="F4060" s="120" t="s">
        <v>26</v>
      </c>
      <c r="G4060" s="121">
        <v>25</v>
      </c>
      <c r="H4060" s="134">
        <f>IF(SUMIFS('[1]2025年已发货'!$E:$E,'[1]2025年已发货'!$F:$F,C4060,'[1]2025年已发货'!$C:$C,F4060,'[1]2025年已发货'!$G:$G,I4060,'[1]2025年已发货'!$H:$H,J4060)=0,"未发货",SUMIFS('[1]2025年已发货'!$E:$E,'[1]2025年已发货'!$F:$F,C4060,'[1]2025年已发货'!$C:$C,F4060,'[1]2025年已发货'!$G:$G,I4060,'[1]2025年已发货'!$H:$H,J4060))</f>
        <v>25</v>
      </c>
      <c r="I4060" s="120" t="str">
        <f>VLOOKUP(B4060,辅助信息!E:I,3,FALSE)</f>
        <v>(中铁科研院宜宾泥溪项目)中铁科研院集团有限公司宜宾市泥溪东互通式立交下穿成贵客专铁路工程项目钢筋加工厂</v>
      </c>
      <c r="J4060" s="120" t="str">
        <f>VLOOKUP(B4060,辅助信息!E:I,4,FALSE)</f>
        <v>蔡鹏</v>
      </c>
      <c r="K4060" s="120">
        <f>VLOOKUP(J4060,辅助信息!H:I,2,FALSE)</f>
        <v>19130850820</v>
      </c>
      <c r="L4060" s="122" t="str">
        <f>VLOOKUP(B4060,辅助信息!E:J,6,FALSE)</f>
        <v>装货前联系收货人核实到场规格，货物最下面用方木垫下方便卸货</v>
      </c>
      <c r="O4060" s="62" t="str">
        <f ca="1" t="shared" si="208"/>
        <v/>
      </c>
      <c r="P4060" s="62"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5" t="s">
        <v>228</v>
      </c>
      <c r="C4061" s="70">
        <v>45929</v>
      </c>
      <c r="D4061" s="40" t="str">
        <f>VLOOKUP(B4061,辅助信息!E:K,7,FALSE)</f>
        <v>JWDDCD2025092400190</v>
      </c>
      <c r="E4061" s="40" t="str">
        <f>VLOOKUP(F4061,辅助信息!A:B,2,FALSE)</f>
        <v>螺纹钢</v>
      </c>
      <c r="F4061" s="40" t="s">
        <v>27</v>
      </c>
      <c r="G4061" s="36">
        <v>3</v>
      </c>
      <c r="H4061" s="134">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09">
        <f>VLOOKUP(B4061,辅助信息!E:J,6,FALSE)</f>
        <v>0</v>
      </c>
      <c r="O4061" s="62" t="str">
        <f ca="1" t="shared" si="208"/>
        <v/>
      </c>
      <c r="P4061" s="62"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5" t="s">
        <v>228</v>
      </c>
      <c r="C4062" s="70">
        <v>45929</v>
      </c>
      <c r="D4062" s="40" t="str">
        <f>VLOOKUP(B4062,辅助信息!E:K,7,FALSE)</f>
        <v>JWDDCD2025092400190</v>
      </c>
      <c r="E4062" s="40" t="str">
        <f>VLOOKUP(F4062,辅助信息!A:B,2,FALSE)</f>
        <v>螺纹钢</v>
      </c>
      <c r="F4062" s="40" t="s">
        <v>30</v>
      </c>
      <c r="G4062" s="36">
        <v>12</v>
      </c>
      <c r="H4062" s="134">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09">
        <f>VLOOKUP(B4062,辅助信息!E:J,6,FALSE)</f>
        <v>0</v>
      </c>
      <c r="O4062" s="62" t="str">
        <f ca="1" t="shared" si="208"/>
        <v/>
      </c>
      <c r="P4062" s="62"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5" t="s">
        <v>228</v>
      </c>
      <c r="C4063" s="70">
        <v>45929</v>
      </c>
      <c r="D4063" s="40" t="str">
        <f>VLOOKUP(B4063,辅助信息!E:K,7,FALSE)</f>
        <v>JWDDCD2025092400190</v>
      </c>
      <c r="E4063" s="40" t="str">
        <f>VLOOKUP(F4063,辅助信息!A:B,2,FALSE)</f>
        <v>螺纹钢</v>
      </c>
      <c r="F4063" s="40" t="s">
        <v>33</v>
      </c>
      <c r="G4063" s="36">
        <v>12</v>
      </c>
      <c r="H4063" s="134">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09">
        <f>VLOOKUP(B4063,辅助信息!E:J,6,FALSE)</f>
        <v>0</v>
      </c>
      <c r="O4063" s="62" t="str">
        <f ca="1" t="shared" si="208"/>
        <v/>
      </c>
      <c r="P4063" s="62"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5" t="s">
        <v>228</v>
      </c>
      <c r="C4064" s="70">
        <v>45929</v>
      </c>
      <c r="D4064" s="40" t="str">
        <f>VLOOKUP(B4064,辅助信息!E:K,7,FALSE)</f>
        <v>JWDDCD2025092400190</v>
      </c>
      <c r="E4064" s="40" t="str">
        <f>VLOOKUP(F4064,辅助信息!A:B,2,FALSE)</f>
        <v>螺纹钢</v>
      </c>
      <c r="F4064" s="40" t="s">
        <v>18</v>
      </c>
      <c r="G4064" s="36">
        <v>9</v>
      </c>
      <c r="H4064" s="134">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09">
        <f>VLOOKUP(B4064,辅助信息!E:J,6,FALSE)</f>
        <v>0</v>
      </c>
      <c r="O4064" s="62" t="str">
        <f ca="1" t="shared" ref="O4064:O4127" si="210">IF(OR(M4064="",N4064&lt;&gt;""),"",MAX(M4064-TODAY(),0))</f>
        <v/>
      </c>
      <c r="P4064" s="62"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5" t="s">
        <v>169</v>
      </c>
      <c r="C4065" s="70">
        <v>45929</v>
      </c>
      <c r="D4065" s="40" t="str">
        <f>VLOOKUP(B4065,辅助信息!E:K,7,FALSE)</f>
        <v>JWDDCD2025051800044</v>
      </c>
      <c r="E4065" s="40" t="str">
        <f>VLOOKUP(F4065,辅助信息!A:B,2,FALSE)</f>
        <v>高线</v>
      </c>
      <c r="F4065" s="40" t="s">
        <v>51</v>
      </c>
      <c r="G4065" s="36">
        <v>35</v>
      </c>
      <c r="H4065" s="134"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09"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2" t="str">
        <f ca="1" t="shared" si="210"/>
        <v/>
      </c>
      <c r="P4065" s="62"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5" t="s">
        <v>169</v>
      </c>
      <c r="C4066" s="70">
        <v>45929</v>
      </c>
      <c r="D4066" s="40" t="str">
        <f>VLOOKUP(B4066,辅助信息!E:K,7,FALSE)</f>
        <v>JWDDCD2025051800044</v>
      </c>
      <c r="E4066" s="40" t="str">
        <f>VLOOKUP(F4066,辅助信息!A:B,2,FALSE)</f>
        <v>螺纹钢</v>
      </c>
      <c r="F4066" s="40" t="s">
        <v>28</v>
      </c>
      <c r="G4066" s="36">
        <v>105</v>
      </c>
      <c r="H4066" s="134"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09"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2" t="str">
        <f ca="1" t="shared" si="210"/>
        <v/>
      </c>
      <c r="P4066" s="62"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6" t="s">
        <v>81</v>
      </c>
      <c r="C4067" s="70">
        <v>45930</v>
      </c>
      <c r="D4067" s="120" t="str">
        <f>VLOOKUP(B4067,辅助信息!E:K,7,FALSE)</f>
        <v>JWDDCD2025060900080</v>
      </c>
      <c r="E4067" s="120" t="str">
        <f>VLOOKUP(F4067,辅助信息!A:B,2,FALSE)</f>
        <v>螺纹钢</v>
      </c>
      <c r="F4067" s="120" t="s">
        <v>32</v>
      </c>
      <c r="G4067" s="121">
        <v>10</v>
      </c>
      <c r="H4067" s="134">
        <f>IF(SUMIFS('[1]2025年已发货'!$E:$E,'[1]2025年已发货'!$F:$F,C4067,'[1]2025年已发货'!$C:$C,F4067,'[1]2025年已发货'!$G:$G,I4067,'[1]2025年已发货'!$H:$H,J4067)=0,"未发货",SUMIFS('[1]2025年已发货'!$E:$E,'[1]2025年已发货'!$F:$F,C4067,'[1]2025年已发货'!$C:$C,F4067,'[1]2025年已发货'!$G:$G,I4067,'[1]2025年已发货'!$H:$H,J4067))</f>
        <v>5</v>
      </c>
      <c r="I4067" s="120" t="str">
        <f>VLOOKUP(B4067,辅助信息!E:I,3,FALSE)</f>
        <v>（华西简阳西城嘉苑）四川省成都市简阳市简城街道高屋村</v>
      </c>
      <c r="J4067" s="120" t="str">
        <f>VLOOKUP(B4067,辅助信息!E:I,4,FALSE)</f>
        <v>张瀚镭</v>
      </c>
      <c r="K4067" s="120">
        <f>VLOOKUP(J4067,辅助信息!H:I,2,FALSE)</f>
        <v>15884666220</v>
      </c>
      <c r="L4067" s="122" t="str">
        <f>VLOOKUP(B4067,辅助信息!E:J,6,FALSE)</f>
        <v>现场禁止使用氢能源挂车！优先威钢发货,我方卸车,新老国标钢厂不加价可直发，因陕钢多次出现磅差，项目拒绝使用</v>
      </c>
      <c r="M4067" s="148">
        <v>45929</v>
      </c>
      <c r="O4067" s="62">
        <f ca="1" t="shared" si="210"/>
        <v>0</v>
      </c>
      <c r="P4067" s="62">
        <f ca="1" t="shared" si="211"/>
        <v>31</v>
      </c>
      <c r="Q4067" s="29" t="str">
        <f>VLOOKUP(B4067,辅助信息!E:M,9,FALSE)</f>
        <v>ZTWM-CDGS-XS-2024-0030-华西集采-简州大道</v>
      </c>
      <c r="R4067" s="29" t="str">
        <f>_xlfn._xlws.FILTER(辅助信息!D:D,辅助信息!E:E=B4067)</f>
        <v>华西简阳西城嘉苑</v>
      </c>
    </row>
    <row r="4068" hidden="1" spans="2:18">
      <c r="B4068" s="136" t="s">
        <v>81</v>
      </c>
      <c r="C4068" s="70">
        <v>45930</v>
      </c>
      <c r="D4068" s="120" t="str">
        <f>VLOOKUP(B4068,辅助信息!E:K,7,FALSE)</f>
        <v>JWDDCD2025060900080</v>
      </c>
      <c r="E4068" s="120" t="str">
        <f>VLOOKUP(F4068,辅助信息!A:B,2,FALSE)</f>
        <v>螺纹钢</v>
      </c>
      <c r="F4068" s="120" t="s">
        <v>22</v>
      </c>
      <c r="G4068" s="121">
        <v>30</v>
      </c>
      <c r="H4068" s="134">
        <f>IF(SUMIFS('[1]2025年已发货'!$E:$E,'[1]2025年已发货'!$F:$F,C4068,'[1]2025年已发货'!$C:$C,F4068,'[1]2025年已发货'!$G:$G,I4068,'[1]2025年已发货'!$H:$H,J4068)=0,"未发货",SUMIFS('[1]2025年已发货'!$E:$E,'[1]2025年已发货'!$F:$F,C4068,'[1]2025年已发货'!$C:$C,F4068,'[1]2025年已发货'!$G:$G,I4068,'[1]2025年已发货'!$H:$H,J4068))</f>
        <v>30</v>
      </c>
      <c r="I4068" s="120" t="str">
        <f>VLOOKUP(B4068,辅助信息!E:I,3,FALSE)</f>
        <v>（华西简阳西城嘉苑）四川省成都市简阳市简城街道高屋村</v>
      </c>
      <c r="J4068" s="120" t="str">
        <f>VLOOKUP(B4068,辅助信息!E:I,4,FALSE)</f>
        <v>张瀚镭</v>
      </c>
      <c r="K4068" s="120">
        <f>VLOOKUP(J4068,辅助信息!H:I,2,FALSE)</f>
        <v>15884666220</v>
      </c>
      <c r="L4068" s="122" t="str">
        <f>VLOOKUP(B4068,辅助信息!E:J,6,FALSE)</f>
        <v>现场禁止使用氢能源挂车！优先威钢发货,我方卸车,新老国标钢厂不加价可直发，因陕钢多次出现磅差，项目拒绝使用</v>
      </c>
      <c r="O4068" s="62" t="str">
        <f ca="1" t="shared" si="210"/>
        <v/>
      </c>
      <c r="P4068" s="62" t="str">
        <f ca="1" t="shared" si="211"/>
        <v/>
      </c>
      <c r="Q4068" s="29" t="str">
        <f>VLOOKUP(B4068,辅助信息!E:M,9,FALSE)</f>
        <v>ZTWM-CDGS-XS-2024-0030-华西集采-简州大道</v>
      </c>
      <c r="R4068" s="29" t="str">
        <f>_xlfn._xlws.FILTER(辅助信息!D:D,辅助信息!E:E=B4068)</f>
        <v>华西简阳西城嘉苑</v>
      </c>
    </row>
    <row r="4069" hidden="1" spans="2:18">
      <c r="B4069" s="136" t="s">
        <v>81</v>
      </c>
      <c r="C4069" s="70">
        <v>45930</v>
      </c>
      <c r="D4069" s="120" t="str">
        <f>VLOOKUP(B4069,辅助信息!E:K,7,FALSE)</f>
        <v>JWDDCD2025060900080</v>
      </c>
      <c r="E4069" s="120" t="str">
        <f>VLOOKUP(F4069,辅助信息!A:B,2,FALSE)</f>
        <v>盘螺</v>
      </c>
      <c r="F4069" s="120" t="s">
        <v>41</v>
      </c>
      <c r="G4069" s="121">
        <v>20</v>
      </c>
      <c r="H4069" s="134"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0" t="str">
        <f>VLOOKUP(B4069,辅助信息!E:I,3,FALSE)</f>
        <v>（华西简阳西城嘉苑）四川省成都市简阳市简城街道高屋村</v>
      </c>
      <c r="J4069" s="120" t="str">
        <f>VLOOKUP(B4069,辅助信息!E:I,4,FALSE)</f>
        <v>张瀚镭</v>
      </c>
      <c r="K4069" s="120">
        <f>VLOOKUP(J4069,辅助信息!H:I,2,FALSE)</f>
        <v>15884666220</v>
      </c>
      <c r="L4069" s="122" t="str">
        <f>VLOOKUP(B4069,辅助信息!E:J,6,FALSE)</f>
        <v>现场禁止使用氢能源挂车！优先威钢发货,我方卸车,新老国标钢厂不加价可直发，因陕钢多次出现磅差，项目拒绝使用</v>
      </c>
      <c r="O4069" s="62" t="str">
        <f ca="1" t="shared" si="210"/>
        <v/>
      </c>
      <c r="P4069" s="62" t="str">
        <f ca="1" t="shared" si="211"/>
        <v/>
      </c>
      <c r="Q4069" s="29" t="str">
        <f>VLOOKUP(B4069,辅助信息!E:M,9,FALSE)</f>
        <v>ZTWM-CDGS-XS-2024-0030-华西集采-简州大道</v>
      </c>
      <c r="R4069" s="29" t="str">
        <f>_xlfn._xlws.FILTER(辅助信息!D:D,辅助信息!E:E=B4069)</f>
        <v>华西简阳西城嘉苑</v>
      </c>
    </row>
    <row r="4070" hidden="1" spans="2:18">
      <c r="B4070" s="136" t="s">
        <v>81</v>
      </c>
      <c r="C4070" s="70">
        <v>45930</v>
      </c>
      <c r="D4070" s="120" t="str">
        <f>VLOOKUP(B4070,辅助信息!E:K,7,FALSE)</f>
        <v>JWDDCD2025060900080</v>
      </c>
      <c r="E4070" s="120" t="str">
        <f>VLOOKUP(F4070,辅助信息!A:B,2,FALSE)</f>
        <v>盘螺</v>
      </c>
      <c r="F4070" s="120" t="s">
        <v>26</v>
      </c>
      <c r="G4070" s="121">
        <v>10</v>
      </c>
      <c r="H4070" s="134"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0" t="str">
        <f>VLOOKUP(B4070,辅助信息!E:I,3,FALSE)</f>
        <v>（华西简阳西城嘉苑）四川省成都市简阳市简城街道高屋村</v>
      </c>
      <c r="J4070" s="120" t="str">
        <f>VLOOKUP(B4070,辅助信息!E:I,4,FALSE)</f>
        <v>张瀚镭</v>
      </c>
      <c r="K4070" s="120">
        <f>VLOOKUP(J4070,辅助信息!H:I,2,FALSE)</f>
        <v>15884666220</v>
      </c>
      <c r="L4070" s="122" t="str">
        <f>VLOOKUP(B4070,辅助信息!E:J,6,FALSE)</f>
        <v>现场禁止使用氢能源挂车！优先威钢发货,我方卸车,新老国标钢厂不加价可直发，因陕钢多次出现磅差，项目拒绝使用</v>
      </c>
      <c r="O4070" s="62" t="str">
        <f ca="1" t="shared" si="210"/>
        <v/>
      </c>
      <c r="P4070" s="62" t="str">
        <f ca="1" t="shared" si="211"/>
        <v/>
      </c>
      <c r="Q4070" s="29" t="str">
        <f>VLOOKUP(B4070,辅助信息!E:M,9,FALSE)</f>
        <v>ZTWM-CDGS-XS-2024-0030-华西集采-简州大道</v>
      </c>
      <c r="R4070" s="29" t="str">
        <f>_xlfn._xlws.FILTER(辅助信息!D:D,辅助信息!E:E=B4070)</f>
        <v>华西简阳西城嘉苑</v>
      </c>
    </row>
    <row r="4071" hidden="1" spans="2:18">
      <c r="B4071" s="136" t="s">
        <v>81</v>
      </c>
      <c r="C4071" s="70">
        <v>45930</v>
      </c>
      <c r="D4071" s="120" t="str">
        <f>VLOOKUP(B4071,辅助信息!E:K,7,FALSE)</f>
        <v>JWDDCD2025060900080</v>
      </c>
      <c r="E4071" s="120" t="str">
        <f>VLOOKUP(F4071,辅助信息!A:B,2,FALSE)</f>
        <v>盘螺</v>
      </c>
      <c r="F4071" s="120" t="s">
        <v>49</v>
      </c>
      <c r="G4071" s="121">
        <v>25</v>
      </c>
      <c r="H4071" s="134"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0" t="str">
        <f>VLOOKUP(B4071,辅助信息!E:I,3,FALSE)</f>
        <v>（华西简阳西城嘉苑）四川省成都市简阳市简城街道高屋村</v>
      </c>
      <c r="J4071" s="120" t="str">
        <f>VLOOKUP(B4071,辅助信息!E:I,4,FALSE)</f>
        <v>张瀚镭</v>
      </c>
      <c r="K4071" s="120">
        <f>VLOOKUP(J4071,辅助信息!H:I,2,FALSE)</f>
        <v>15884666220</v>
      </c>
      <c r="L4071" s="122" t="str">
        <f>VLOOKUP(B4071,辅助信息!E:J,6,FALSE)</f>
        <v>现场禁止使用氢能源挂车！优先威钢发货,我方卸车,新老国标钢厂不加价可直发，因陕钢多次出现磅差，项目拒绝使用</v>
      </c>
      <c r="O4071" s="62" t="str">
        <f ca="1" t="shared" si="210"/>
        <v/>
      </c>
      <c r="P4071" s="62" t="str">
        <f ca="1" t="shared" si="211"/>
        <v/>
      </c>
      <c r="Q4071" s="29" t="str">
        <f>VLOOKUP(B4071,辅助信息!E:M,9,FALSE)</f>
        <v>ZTWM-CDGS-XS-2024-0030-华西集采-简州大道</v>
      </c>
      <c r="R4071" s="29" t="str">
        <f>_xlfn._xlws.FILTER(辅助信息!D:D,辅助信息!E:E=B4071)</f>
        <v>华西简阳西城嘉苑</v>
      </c>
    </row>
    <row r="4072" hidden="1" spans="2:18">
      <c r="B4072" s="136" t="s">
        <v>81</v>
      </c>
      <c r="C4072" s="70">
        <v>45930</v>
      </c>
      <c r="D4072" s="120" t="str">
        <f>VLOOKUP(B4072,辅助信息!E:K,7,FALSE)</f>
        <v>JWDDCD2025060900080</v>
      </c>
      <c r="E4072" s="120" t="str">
        <f>VLOOKUP(F4072,辅助信息!A:B,2,FALSE)</f>
        <v>盘螺</v>
      </c>
      <c r="F4072" s="120" t="s">
        <v>40</v>
      </c>
      <c r="G4072" s="121">
        <v>10</v>
      </c>
      <c r="H4072" s="134"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0" t="str">
        <f>VLOOKUP(B4072,辅助信息!E:I,3,FALSE)</f>
        <v>（华西简阳西城嘉苑）四川省成都市简阳市简城街道高屋村</v>
      </c>
      <c r="J4072" s="120" t="str">
        <f>VLOOKUP(B4072,辅助信息!E:I,4,FALSE)</f>
        <v>张瀚镭</v>
      </c>
      <c r="K4072" s="120">
        <f>VLOOKUP(J4072,辅助信息!H:I,2,FALSE)</f>
        <v>15884666220</v>
      </c>
      <c r="L4072" s="122" t="str">
        <f>VLOOKUP(B4072,辅助信息!E:J,6,FALSE)</f>
        <v>现场禁止使用氢能源挂车！优先威钢发货,我方卸车,新老国标钢厂不加价可直发，因陕钢多次出现磅差，项目拒绝使用</v>
      </c>
      <c r="M4072" s="148">
        <v>45929</v>
      </c>
      <c r="O4072" s="62">
        <f ca="1" t="shared" si="210"/>
        <v>0</v>
      </c>
      <c r="P4072" s="62">
        <f ca="1" t="shared" si="211"/>
        <v>31</v>
      </c>
      <c r="Q4072" s="29" t="str">
        <f>VLOOKUP(B4072,辅助信息!E:M,9,FALSE)</f>
        <v>ZTWM-CDGS-XS-2024-0030-华西集采-简州大道</v>
      </c>
      <c r="R4072" s="29" t="str">
        <f>_xlfn._xlws.FILTER(辅助信息!D:D,辅助信息!E:E=B4072)</f>
        <v>华西简阳西城嘉苑</v>
      </c>
    </row>
    <row r="4073" hidden="1" spans="2:18">
      <c r="B4073" s="136" t="s">
        <v>179</v>
      </c>
      <c r="C4073" s="70">
        <v>45930</v>
      </c>
      <c r="D4073" s="120" t="str">
        <f>VLOOKUP(B4073,辅助信息!E:K,7,FALSE)</f>
        <v>JWDDCD2025052800131</v>
      </c>
      <c r="E4073" s="120" t="str">
        <f>VLOOKUP(F4073,辅助信息!A:B,2,FALSE)</f>
        <v>螺纹钢</v>
      </c>
      <c r="F4073" s="120" t="s">
        <v>66</v>
      </c>
      <c r="G4073" s="121">
        <v>6</v>
      </c>
      <c r="H4073" s="134">
        <f>IF(SUMIFS('[1]2025年已发货'!$E:$E,'[1]2025年已发货'!$F:$F,C4073,'[1]2025年已发货'!$C:$C,F4073,'[1]2025年已发货'!$G:$G,I4073,'[1]2025年已发货'!$H:$H,J4073)=0,"未发货",SUMIFS('[1]2025年已发货'!$E:$E,'[1]2025年已发货'!$F:$F,C4073,'[1]2025年已发货'!$C:$C,F4073,'[1]2025年已发货'!$G:$G,I4073,'[1]2025年已发货'!$H:$H,J4073))</f>
        <v>6</v>
      </c>
      <c r="I4073" s="120" t="str">
        <f>VLOOKUP(B4073,辅助信息!E:I,3,FALSE)</f>
        <v>（商投建工达州中医药科技园-4工区-3号楼）达州市通川区达州中医药职业学院犀牛大道北段</v>
      </c>
      <c r="J4073" s="120" t="str">
        <f>VLOOKUP(B4073,辅助信息!E:I,4,FALSE)</f>
        <v>张扬</v>
      </c>
      <c r="K4073" s="120">
        <f>VLOOKUP(J4073,辅助信息!H:I,2,FALSE)</f>
        <v>18381904567</v>
      </c>
      <c r="L4073" s="122" t="str">
        <f>VLOOKUP(B4073,辅助信息!E:J,6,FALSE)</f>
        <v>控制炉批号！多了现场不收！,优先安排达钢,提前联系到场规格及数量</v>
      </c>
      <c r="M4073" s="148">
        <v>45929</v>
      </c>
      <c r="O4073" s="62">
        <f ca="1" t="shared" si="210"/>
        <v>0</v>
      </c>
      <c r="P4073" s="62">
        <f ca="1" t="shared" si="211"/>
        <v>31</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6" t="s">
        <v>179</v>
      </c>
      <c r="C4074" s="70">
        <v>45930</v>
      </c>
      <c r="D4074" s="120" t="str">
        <f>VLOOKUP(B4074,辅助信息!E:K,7,FALSE)</f>
        <v>JWDDCD2025052800131</v>
      </c>
      <c r="E4074" s="120" t="str">
        <f>VLOOKUP(F4074,辅助信息!A:B,2,FALSE)</f>
        <v>螺纹钢</v>
      </c>
      <c r="F4074" s="120" t="s">
        <v>21</v>
      </c>
      <c r="G4074" s="121">
        <v>6</v>
      </c>
      <c r="H4074" s="134"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0" t="str">
        <f>VLOOKUP(B4074,辅助信息!E:I,3,FALSE)</f>
        <v>（商投建工达州中医药科技园-4工区-3号楼）达州市通川区达州中医药职业学院犀牛大道北段</v>
      </c>
      <c r="J4074" s="120" t="str">
        <f>VLOOKUP(B4074,辅助信息!E:I,4,FALSE)</f>
        <v>张扬</v>
      </c>
      <c r="K4074" s="120">
        <f>VLOOKUP(J4074,辅助信息!H:I,2,FALSE)</f>
        <v>18381904567</v>
      </c>
      <c r="L4074" s="122" t="str">
        <f>VLOOKUP(B4074,辅助信息!E:J,6,FALSE)</f>
        <v>控制炉批号！多了现场不收！,优先安排达钢,提前联系到场规格及数量</v>
      </c>
      <c r="M4074" s="148">
        <v>45929</v>
      </c>
      <c r="O4074" s="62">
        <f ca="1" t="shared" si="210"/>
        <v>0</v>
      </c>
      <c r="P4074" s="62">
        <f ca="1" t="shared" si="211"/>
        <v>31</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6" t="s">
        <v>179</v>
      </c>
      <c r="C4075" s="70">
        <v>45930</v>
      </c>
      <c r="D4075" s="120" t="str">
        <f>VLOOKUP(B4075,辅助信息!E:K,7,FALSE)</f>
        <v>JWDDCD2025052800131</v>
      </c>
      <c r="E4075" s="120" t="str">
        <f>VLOOKUP(F4075,辅助信息!A:B,2,FALSE)</f>
        <v>螺纹钢</v>
      </c>
      <c r="F4075" s="120" t="s">
        <v>58</v>
      </c>
      <c r="G4075" s="121">
        <v>15</v>
      </c>
      <c r="H4075" s="134">
        <f>IF(SUMIFS('[1]2025年已发货'!$E:$E,'[1]2025年已发货'!$F:$F,C4075,'[1]2025年已发货'!$C:$C,F4075,'[1]2025年已发货'!$G:$G,I4075,'[1]2025年已发货'!$H:$H,J4075)=0,"未发货",SUMIFS('[1]2025年已发货'!$E:$E,'[1]2025年已发货'!$F:$F,C4075,'[1]2025年已发货'!$C:$C,F4075,'[1]2025年已发货'!$G:$G,I4075,'[1]2025年已发货'!$H:$H,J4075))</f>
        <v>15</v>
      </c>
      <c r="I4075" s="120" t="str">
        <f>VLOOKUP(B4075,辅助信息!E:I,3,FALSE)</f>
        <v>（商投建工达州中医药科技园-4工区-3号楼）达州市通川区达州中医药职业学院犀牛大道北段</v>
      </c>
      <c r="J4075" s="120" t="str">
        <f>VLOOKUP(B4075,辅助信息!E:I,4,FALSE)</f>
        <v>张扬</v>
      </c>
      <c r="K4075" s="120">
        <f>VLOOKUP(J4075,辅助信息!H:I,2,FALSE)</f>
        <v>18381904567</v>
      </c>
      <c r="L4075" s="122" t="str">
        <f>VLOOKUP(B4075,辅助信息!E:J,6,FALSE)</f>
        <v>控制炉批号！多了现场不收！,优先安排达钢,提前联系到场规格及数量</v>
      </c>
      <c r="M4075" s="148">
        <v>45929</v>
      </c>
      <c r="O4075" s="62">
        <f ca="1" t="shared" si="210"/>
        <v>0</v>
      </c>
      <c r="P4075" s="62">
        <f ca="1" t="shared" si="211"/>
        <v>31</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6" t="s">
        <v>179</v>
      </c>
      <c r="C4076" s="70">
        <v>45930</v>
      </c>
      <c r="D4076" s="120" t="str">
        <f>VLOOKUP(B4076,辅助信息!E:K,7,FALSE)</f>
        <v>JWDDCD2025052800131</v>
      </c>
      <c r="E4076" s="120" t="str">
        <f>VLOOKUP(F4076,辅助信息!A:B,2,FALSE)</f>
        <v>螺纹钢</v>
      </c>
      <c r="F4076" s="120" t="s">
        <v>22</v>
      </c>
      <c r="G4076" s="121">
        <v>10</v>
      </c>
      <c r="H4076" s="134"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0" t="str">
        <f>VLOOKUP(B4076,辅助信息!E:I,3,FALSE)</f>
        <v>（商投建工达州中医药科技园-4工区-3号楼）达州市通川区达州中医药职业学院犀牛大道北段</v>
      </c>
      <c r="J4076" s="120" t="str">
        <f>VLOOKUP(B4076,辅助信息!E:I,4,FALSE)</f>
        <v>张扬</v>
      </c>
      <c r="K4076" s="120">
        <f>VLOOKUP(J4076,辅助信息!H:I,2,FALSE)</f>
        <v>18381904567</v>
      </c>
      <c r="L4076" s="122" t="str">
        <f>VLOOKUP(B4076,辅助信息!E:J,6,FALSE)</f>
        <v>控制炉批号！多了现场不收！,优先安排达钢,提前联系到场规格及数量</v>
      </c>
      <c r="M4076" s="148">
        <v>45928</v>
      </c>
      <c r="O4076" s="62">
        <f ca="1" t="shared" si="210"/>
        <v>0</v>
      </c>
      <c r="P4076" s="62">
        <f ca="1" t="shared" si="211"/>
        <v>32</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6" t="s">
        <v>179</v>
      </c>
      <c r="C4077" s="70">
        <v>45930</v>
      </c>
      <c r="D4077" s="120" t="str">
        <f>VLOOKUP(B4077,辅助信息!E:K,7,FALSE)</f>
        <v>JWDDCD2025052800131</v>
      </c>
      <c r="E4077" s="120" t="str">
        <f>VLOOKUP(F4077,辅助信息!A:B,2,FALSE)</f>
        <v>盘螺</v>
      </c>
      <c r="F4077" s="120" t="s">
        <v>41</v>
      </c>
      <c r="G4077" s="121">
        <v>9</v>
      </c>
      <c r="H4077" s="134">
        <f>IF(SUMIFS('[1]2025年已发货'!$E:$E,'[1]2025年已发货'!$F:$F,C4077,'[1]2025年已发货'!$C:$C,F4077,'[1]2025年已发货'!$G:$G,I4077,'[1]2025年已发货'!$H:$H,J4077)=0,"未发货",SUMIFS('[1]2025年已发货'!$E:$E,'[1]2025年已发货'!$F:$F,C4077,'[1]2025年已发货'!$C:$C,F4077,'[1]2025年已发货'!$G:$G,I4077,'[1]2025年已发货'!$H:$H,J4077))</f>
        <v>9</v>
      </c>
      <c r="I4077" s="120" t="str">
        <f>VLOOKUP(B4077,辅助信息!E:I,3,FALSE)</f>
        <v>（商投建工达州中医药科技园-4工区-3号楼）达州市通川区达州中医药职业学院犀牛大道北段</v>
      </c>
      <c r="J4077" s="120" t="str">
        <f>VLOOKUP(B4077,辅助信息!E:I,4,FALSE)</f>
        <v>张扬</v>
      </c>
      <c r="K4077" s="120">
        <f>VLOOKUP(J4077,辅助信息!H:I,2,FALSE)</f>
        <v>18381904567</v>
      </c>
      <c r="L4077" s="122" t="str">
        <f>VLOOKUP(B4077,辅助信息!E:J,6,FALSE)</f>
        <v>控制炉批号！多了现场不收！,优先安排达钢,提前联系到场规格及数量</v>
      </c>
      <c r="M4077" s="148">
        <v>45928</v>
      </c>
      <c r="O4077" s="62">
        <f ca="1" t="shared" si="210"/>
        <v>0</v>
      </c>
      <c r="P4077" s="62">
        <f ca="1" t="shared" si="211"/>
        <v>32</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6" t="s">
        <v>179</v>
      </c>
      <c r="C4078" s="70">
        <v>45930</v>
      </c>
      <c r="D4078" s="120" t="str">
        <f>VLOOKUP(B4078,辅助信息!E:K,7,FALSE)</f>
        <v>JWDDCD2025052800131</v>
      </c>
      <c r="E4078" s="120" t="str">
        <f>VLOOKUP(F4078,辅助信息!A:B,2,FALSE)</f>
        <v>盘螺</v>
      </c>
      <c r="F4078" s="120" t="s">
        <v>49</v>
      </c>
      <c r="G4078" s="121">
        <v>6</v>
      </c>
      <c r="H4078" s="134"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0" t="str">
        <f>VLOOKUP(B4078,辅助信息!E:I,3,FALSE)</f>
        <v>（商投建工达州中医药科技园-4工区-3号楼）达州市通川区达州中医药职业学院犀牛大道北段</v>
      </c>
      <c r="J4078" s="120" t="str">
        <f>VLOOKUP(B4078,辅助信息!E:I,4,FALSE)</f>
        <v>张扬</v>
      </c>
      <c r="K4078" s="120">
        <f>VLOOKUP(J4078,辅助信息!H:I,2,FALSE)</f>
        <v>18381904567</v>
      </c>
      <c r="L4078" s="122" t="str">
        <f>VLOOKUP(B4078,辅助信息!E:J,6,FALSE)</f>
        <v>控制炉批号！多了现场不收！,优先安排达钢,提前联系到场规格及数量</v>
      </c>
      <c r="M4078" s="148">
        <v>45929</v>
      </c>
      <c r="O4078" s="62">
        <f ca="1" t="shared" si="210"/>
        <v>0</v>
      </c>
      <c r="P4078" s="62">
        <f ca="1" t="shared" si="211"/>
        <v>31</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6" t="s">
        <v>179</v>
      </c>
      <c r="C4079" s="70">
        <v>45930</v>
      </c>
      <c r="D4079" s="120" t="str">
        <f>VLOOKUP(B4079,辅助信息!E:K,7,FALSE)</f>
        <v>JWDDCD2025052800131</v>
      </c>
      <c r="E4079" s="120" t="str">
        <f>VLOOKUP(F4079,辅助信息!A:B,2,FALSE)</f>
        <v>盘螺</v>
      </c>
      <c r="F4079" s="120" t="s">
        <v>40</v>
      </c>
      <c r="G4079" s="121">
        <v>21</v>
      </c>
      <c r="H4079" s="134">
        <f>IF(SUMIFS('[1]2025年已发货'!$E:$E,'[1]2025年已发货'!$F:$F,C4079,'[1]2025年已发货'!$C:$C,F4079,'[1]2025年已发货'!$G:$G,I4079,'[1]2025年已发货'!$H:$H,J4079)=0,"未发货",SUMIFS('[1]2025年已发货'!$E:$E,'[1]2025年已发货'!$F:$F,C4079,'[1]2025年已发货'!$C:$C,F4079,'[1]2025年已发货'!$G:$G,I4079,'[1]2025年已发货'!$H:$H,J4079))</f>
        <v>21</v>
      </c>
      <c r="I4079" s="120" t="str">
        <f>VLOOKUP(B4079,辅助信息!E:I,3,FALSE)</f>
        <v>（商投建工达州中医药科技园-4工区-3号楼）达州市通川区达州中医药职业学院犀牛大道北段</v>
      </c>
      <c r="J4079" s="120" t="str">
        <f>VLOOKUP(B4079,辅助信息!E:I,4,FALSE)</f>
        <v>张扬</v>
      </c>
      <c r="K4079" s="120">
        <f>VLOOKUP(J4079,辅助信息!H:I,2,FALSE)</f>
        <v>18381904567</v>
      </c>
      <c r="L4079" s="122" t="str">
        <f>VLOOKUP(B4079,辅助信息!E:J,6,FALSE)</f>
        <v>控制炉批号！多了现场不收！,优先安排达钢,提前联系到场规格及数量</v>
      </c>
      <c r="M4079" s="148">
        <v>45929</v>
      </c>
      <c r="O4079" s="62">
        <f ca="1" t="shared" si="210"/>
        <v>0</v>
      </c>
      <c r="P4079" s="62">
        <f ca="1" t="shared" si="211"/>
        <v>31</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6" t="s">
        <v>230</v>
      </c>
      <c r="C4080" s="70">
        <v>45930</v>
      </c>
      <c r="D4080" s="120" t="str">
        <f>VLOOKUP(B4080,辅助信息!E:K,7,FALSE)</f>
        <v>JWDDCD2025102100481</v>
      </c>
      <c r="E4080" s="120" t="str">
        <f>VLOOKUP(F4080,辅助信息!A:B,2,FALSE)</f>
        <v>螺纹钢</v>
      </c>
      <c r="F4080" s="120" t="s">
        <v>18</v>
      </c>
      <c r="G4080" s="121">
        <v>9</v>
      </c>
      <c r="H4080" s="134">
        <f>IF(SUMIFS('[1]2025年已发货'!$E:$E,'[1]2025年已发货'!$F:$F,C4080,'[1]2025年已发货'!$C:$C,F4080,'[1]2025年已发货'!$G:$G,I4080,'[1]2025年已发货'!$H:$H,J4080)=0,"未发货",SUMIFS('[1]2025年已发货'!$E:$E,'[1]2025年已发货'!$F:$F,C4080,'[1]2025年已发货'!$C:$C,F4080,'[1]2025年已发货'!$G:$G,I4080,'[1]2025年已发货'!$H:$H,J4080))</f>
        <v>9</v>
      </c>
      <c r="I4080" s="120" t="str">
        <f>VLOOKUP(B4080,辅助信息!E:I,3,FALSE)</f>
        <v>(五冶建设成都盐道街中学初中部改扩建工程-二标)四川省成都市锦江区春熙路街道盐道街4号（盐道街中学初中部）</v>
      </c>
      <c r="J4080" s="120" t="str">
        <f>VLOOKUP(B4080,辅助信息!E:I,4,FALSE)</f>
        <v>谢鑫</v>
      </c>
      <c r="K4080" s="120">
        <f>VLOOKUP(J4080,辅助信息!H:I,2,FALSE)</f>
        <v>18228465067</v>
      </c>
      <c r="L4080" s="122" t="str">
        <f>VLOOKUP(B4080,辅助信息!E:J,6,FALSE)</f>
        <v>联系实际收货人（易前刚18228465067）五冶建设送货单,6份材质书,锈货不收，装货前联系收货人核实到场规格,没提前告知进场规格现场不给予接收</v>
      </c>
      <c r="M4080" s="148">
        <v>45929</v>
      </c>
      <c r="O4080" s="62">
        <f ca="1" t="shared" si="210"/>
        <v>0</v>
      </c>
      <c r="P4080" s="62">
        <f ca="1" t="shared" si="211"/>
        <v>31</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6" t="s">
        <v>230</v>
      </c>
      <c r="C4081" s="70">
        <v>45930</v>
      </c>
      <c r="D4081" s="120" t="str">
        <f>VLOOKUP(B4081,辅助信息!E:K,7,FALSE)</f>
        <v>JWDDCD2025102100481</v>
      </c>
      <c r="E4081" s="120" t="str">
        <f>VLOOKUP(F4081,辅助信息!A:B,2,FALSE)</f>
        <v>盘螺</v>
      </c>
      <c r="F4081" s="120" t="s">
        <v>41</v>
      </c>
      <c r="G4081" s="121">
        <v>2</v>
      </c>
      <c r="H4081" s="134">
        <f>IF(SUMIFS('[1]2025年已发货'!$E:$E,'[1]2025年已发货'!$F:$F,C4081,'[1]2025年已发货'!$C:$C,F4081,'[1]2025年已发货'!$G:$G,I4081,'[1]2025年已发货'!$H:$H,J4081)=0,"未发货",SUMIFS('[1]2025年已发货'!$E:$E,'[1]2025年已发货'!$F:$F,C4081,'[1]2025年已发货'!$C:$C,F4081,'[1]2025年已发货'!$G:$G,I4081,'[1]2025年已发货'!$H:$H,J4081))</f>
        <v>2</v>
      </c>
      <c r="I4081" s="120" t="str">
        <f>VLOOKUP(B4081,辅助信息!E:I,3,FALSE)</f>
        <v>(五冶建设成都盐道街中学初中部改扩建工程-二标)四川省成都市锦江区春熙路街道盐道街4号（盐道街中学初中部）</v>
      </c>
      <c r="J4081" s="120" t="str">
        <f>VLOOKUP(B4081,辅助信息!E:I,4,FALSE)</f>
        <v>谢鑫</v>
      </c>
      <c r="K4081" s="120">
        <f>VLOOKUP(J4081,辅助信息!H:I,2,FALSE)</f>
        <v>18228465067</v>
      </c>
      <c r="L4081" s="122" t="str">
        <f>VLOOKUP(B4081,辅助信息!E:J,6,FALSE)</f>
        <v>联系实际收货人（易前刚18228465067）五冶建设送货单,6份材质书,锈货不收，装货前联系收货人核实到场规格,没提前告知进场规格现场不给予接收</v>
      </c>
      <c r="M4081" s="148">
        <v>45929</v>
      </c>
      <c r="O4081" s="62">
        <f ca="1" t="shared" si="210"/>
        <v>0</v>
      </c>
      <c r="P4081" s="62">
        <f ca="1" t="shared" si="211"/>
        <v>31</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6" t="s">
        <v>230</v>
      </c>
      <c r="C4082" s="70">
        <v>45930</v>
      </c>
      <c r="D4082" s="120" t="str">
        <f>VLOOKUP(B4082,辅助信息!E:K,7,FALSE)</f>
        <v>JWDDCD2025102100481</v>
      </c>
      <c r="E4082" s="120" t="str">
        <f>VLOOKUP(F4082,辅助信息!A:B,2,FALSE)</f>
        <v>盘螺</v>
      </c>
      <c r="F4082" s="120" t="s">
        <v>40</v>
      </c>
      <c r="G4082" s="121">
        <v>2</v>
      </c>
      <c r="H4082" s="134">
        <f>IF(SUMIFS('[1]2025年已发货'!$E:$E,'[1]2025年已发货'!$F:$F,C4082,'[1]2025年已发货'!$C:$C,F4082,'[1]2025年已发货'!$G:$G,I4082,'[1]2025年已发货'!$H:$H,J4082)=0,"未发货",SUMIFS('[1]2025年已发货'!$E:$E,'[1]2025年已发货'!$F:$F,C4082,'[1]2025年已发货'!$C:$C,F4082,'[1]2025年已发货'!$G:$G,I4082,'[1]2025年已发货'!$H:$H,J4082))</f>
        <v>2</v>
      </c>
      <c r="I4082" s="120" t="str">
        <f>VLOOKUP(B4082,辅助信息!E:I,3,FALSE)</f>
        <v>(五冶建设成都盐道街中学初中部改扩建工程-二标)四川省成都市锦江区春熙路街道盐道街4号（盐道街中学初中部）</v>
      </c>
      <c r="J4082" s="120" t="str">
        <f>VLOOKUP(B4082,辅助信息!E:I,4,FALSE)</f>
        <v>谢鑫</v>
      </c>
      <c r="K4082" s="120">
        <f>VLOOKUP(J4082,辅助信息!H:I,2,FALSE)</f>
        <v>18228465067</v>
      </c>
      <c r="L4082" s="122" t="str">
        <f>VLOOKUP(B4082,辅助信息!E:J,6,FALSE)</f>
        <v>联系实际收货人（易前刚18228465067）五冶建设送货单,6份材质书,锈货不收，装货前联系收货人核实到场规格,没提前告知进场规格现场不给予接收</v>
      </c>
      <c r="M4082" s="148">
        <v>45929</v>
      </c>
      <c r="O4082" s="62">
        <f ca="1" t="shared" si="210"/>
        <v>0</v>
      </c>
      <c r="P4082" s="62">
        <f ca="1" t="shared" si="211"/>
        <v>31</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6" t="s">
        <v>231</v>
      </c>
      <c r="C4083" s="143">
        <v>45930</v>
      </c>
      <c r="D4083" s="136" t="str">
        <f>VLOOKUP(B4083,辅助信息!E:K,7,FALSE)</f>
        <v>JWDDCD2025102100481</v>
      </c>
      <c r="E4083" s="136" t="str">
        <f>VLOOKUP(F4083,辅助信息!A:B,2,FALSE)</f>
        <v>螺纹钢</v>
      </c>
      <c r="F4083" s="136" t="s">
        <v>19</v>
      </c>
      <c r="G4083" s="134">
        <v>24</v>
      </c>
      <c r="H4083" s="134">
        <f>IF(SUMIFS('[1]2025年已发货'!$E:$E,'[1]2025年已发货'!$F:$F,C4083,'[1]2025年已发货'!$C:$C,F4083,'[1]2025年已发货'!$G:$G,I4083,'[1]2025年已发货'!$H:$H,J4083)=0,"未发货",SUMIFS('[1]2025年已发货'!$E:$E,'[1]2025年已发货'!$F:$F,C4083,'[1]2025年已发货'!$C:$C,F4083,'[1]2025年已发货'!$G:$G,I4083,'[1]2025年已发货'!$H:$H,J4083))</f>
        <v>24</v>
      </c>
      <c r="I4083" s="120" t="str">
        <f>VLOOKUP(B4083,辅助信息!E:I,3,FALSE)</f>
        <v>(五冶建设成都盐道街中学初中部改扩建工程-一标)四川省成都市锦江区春熙路街道盐道街4号（盐道街中学初中部）</v>
      </c>
      <c r="J4083" s="120" t="str">
        <f>VLOOKUP(B4083,辅助信息!E:I,4,FALSE)</f>
        <v>谢鑫</v>
      </c>
      <c r="K4083" s="120">
        <f>VLOOKUP(J4083,辅助信息!H:I,2,FALSE)</f>
        <v>18228465067</v>
      </c>
      <c r="L4083" s="122" t="str">
        <f>VLOOKUP(B4083,辅助信息!E:J,6,FALSE)</f>
        <v>联系实际收货人（易前刚18228465067）五冶建设送货单,6份材质书,锈货不收，装货前联系收货人核实到场规格,没提前告知进场规格现场不给予接收</v>
      </c>
      <c r="M4083" s="148">
        <v>45929</v>
      </c>
      <c r="O4083" s="62">
        <f ca="1" t="shared" si="210"/>
        <v>0</v>
      </c>
      <c r="P4083" s="62">
        <f ca="1" t="shared" si="211"/>
        <v>31</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6" t="s">
        <v>231</v>
      </c>
      <c r="C4084" s="70">
        <v>45930</v>
      </c>
      <c r="D4084" s="120" t="str">
        <f>VLOOKUP(B4084,辅助信息!E:K,7,FALSE)</f>
        <v>JWDDCD2025102100481</v>
      </c>
      <c r="E4084" s="120" t="str">
        <f>VLOOKUP(F4084,辅助信息!A:B,2,FALSE)</f>
        <v>螺纹钢</v>
      </c>
      <c r="F4084" s="120" t="s">
        <v>32</v>
      </c>
      <c r="G4084" s="121">
        <v>6</v>
      </c>
      <c r="H4084" s="134">
        <f>IF(SUMIFS('[1]2025年已发货'!$E:$E,'[1]2025年已发货'!$F:$F,C4084,'[1]2025年已发货'!$C:$C,F4084,'[1]2025年已发货'!$G:$G,I4084,'[1]2025年已发货'!$H:$H,J4084)=0,"未发货",SUMIFS('[1]2025年已发货'!$E:$E,'[1]2025年已发货'!$F:$F,C4084,'[1]2025年已发货'!$C:$C,F4084,'[1]2025年已发货'!$G:$G,I4084,'[1]2025年已发货'!$H:$H,J4084))</f>
        <v>6</v>
      </c>
      <c r="I4084" s="120" t="str">
        <f>VLOOKUP(B4084,辅助信息!E:I,3,FALSE)</f>
        <v>(五冶建设成都盐道街中学初中部改扩建工程-一标)四川省成都市锦江区春熙路街道盐道街4号（盐道街中学初中部）</v>
      </c>
      <c r="J4084" s="120" t="str">
        <f>VLOOKUP(B4084,辅助信息!E:I,4,FALSE)</f>
        <v>谢鑫</v>
      </c>
      <c r="K4084" s="120">
        <f>VLOOKUP(J4084,辅助信息!H:I,2,FALSE)</f>
        <v>18228465067</v>
      </c>
      <c r="L4084" s="122" t="str">
        <f>VLOOKUP(B4084,辅助信息!E:J,6,FALSE)</f>
        <v>联系实际收货人（易前刚18228465067）五冶建设送货单,6份材质书,锈货不收，装货前联系收货人核实到场规格,没提前告知进场规格现场不给予接收</v>
      </c>
      <c r="M4084" s="148">
        <v>45929</v>
      </c>
      <c r="O4084" s="62">
        <f ca="1" t="shared" si="210"/>
        <v>0</v>
      </c>
      <c r="P4084" s="62">
        <f ca="1" t="shared" si="211"/>
        <v>31</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6" t="s">
        <v>231</v>
      </c>
      <c r="C4085" s="70">
        <v>45930</v>
      </c>
      <c r="D4085" s="120" t="str">
        <f>VLOOKUP(B4085,辅助信息!E:K,7,FALSE)</f>
        <v>JWDDCD2025102100481</v>
      </c>
      <c r="E4085" s="120" t="str">
        <f>VLOOKUP(F4085,辅助信息!A:B,2,FALSE)</f>
        <v>螺纹钢</v>
      </c>
      <c r="F4085" s="120" t="s">
        <v>28</v>
      </c>
      <c r="G4085" s="121">
        <v>64</v>
      </c>
      <c r="H4085" s="134">
        <f>IF(SUMIFS('[1]2025年已发货'!$E:$E,'[1]2025年已发货'!$F:$F,C4085,'[1]2025年已发货'!$C:$C,F4085,'[1]2025年已发货'!$G:$G,I4085,'[1]2025年已发货'!$H:$H,J4085)=0,"未发货",SUMIFS('[1]2025年已发货'!$E:$E,'[1]2025年已发货'!$F:$F,C4085,'[1]2025年已发货'!$C:$C,F4085,'[1]2025年已发货'!$G:$G,I4085,'[1]2025年已发货'!$H:$H,J4085))</f>
        <v>64</v>
      </c>
      <c r="I4085" s="120" t="str">
        <f>VLOOKUP(B4085,辅助信息!E:I,3,FALSE)</f>
        <v>(五冶建设成都盐道街中学初中部改扩建工程-一标)四川省成都市锦江区春熙路街道盐道街4号（盐道街中学初中部）</v>
      </c>
      <c r="J4085" s="120" t="str">
        <f>VLOOKUP(B4085,辅助信息!E:I,4,FALSE)</f>
        <v>谢鑫</v>
      </c>
      <c r="K4085" s="120">
        <f>VLOOKUP(J4085,辅助信息!H:I,2,FALSE)</f>
        <v>18228465067</v>
      </c>
      <c r="L4085" s="122" t="str">
        <f>VLOOKUP(B4085,辅助信息!E:J,6,FALSE)</f>
        <v>联系实际收货人（易前刚18228465067）五冶建设送货单,6份材质书,锈货不收，装货前联系收货人核实到场规格,没提前告知进场规格现场不给予接收</v>
      </c>
      <c r="M4085" s="148">
        <v>45929</v>
      </c>
      <c r="O4085" s="62">
        <f ca="1" t="shared" si="210"/>
        <v>0</v>
      </c>
      <c r="P4085" s="62">
        <f ca="1" t="shared" si="211"/>
        <v>31</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6" t="s">
        <v>231</v>
      </c>
      <c r="C4086" s="70">
        <v>45930</v>
      </c>
      <c r="D4086" s="120" t="str">
        <f>VLOOKUP(B4086,辅助信息!E:K,7,FALSE)</f>
        <v>JWDDCD2025102100481</v>
      </c>
      <c r="E4086" s="120" t="str">
        <f>VLOOKUP(F4086,辅助信息!A:B,2,FALSE)</f>
        <v>盘螺</v>
      </c>
      <c r="F4086" s="120" t="s">
        <v>49</v>
      </c>
      <c r="G4086" s="121">
        <v>2</v>
      </c>
      <c r="H4086" s="134">
        <f>IF(SUMIFS('[1]2025年已发货'!$E:$E,'[1]2025年已发货'!$F:$F,C4086,'[1]2025年已发货'!$C:$C,F4086,'[1]2025年已发货'!$G:$G,I4086,'[1]2025年已发货'!$H:$H,J4086)=0,"未发货",SUMIFS('[1]2025年已发货'!$E:$E,'[1]2025年已发货'!$F:$F,C4086,'[1]2025年已发货'!$C:$C,F4086,'[1]2025年已发货'!$G:$G,I4086,'[1]2025年已发货'!$H:$H,J4086))</f>
        <v>2</v>
      </c>
      <c r="I4086" s="120" t="str">
        <f>VLOOKUP(B4086,辅助信息!E:I,3,FALSE)</f>
        <v>(五冶建设成都盐道街中学初中部改扩建工程-一标)四川省成都市锦江区春熙路街道盐道街4号（盐道街中学初中部）</v>
      </c>
      <c r="J4086" s="120" t="str">
        <f>VLOOKUP(B4086,辅助信息!E:I,4,FALSE)</f>
        <v>谢鑫</v>
      </c>
      <c r="K4086" s="120">
        <f>VLOOKUP(J4086,辅助信息!H:I,2,FALSE)</f>
        <v>18228465067</v>
      </c>
      <c r="L4086" s="122" t="str">
        <f>VLOOKUP(B4086,辅助信息!E:J,6,FALSE)</f>
        <v>联系实际收货人（易前刚18228465067）五冶建设送货单,6份材质书,锈货不收，装货前联系收货人核实到场规格,没提前告知进场规格现场不给予接收</v>
      </c>
      <c r="M4086" s="148">
        <v>45929</v>
      </c>
      <c r="O4086" s="62">
        <f ca="1" t="shared" si="210"/>
        <v>0</v>
      </c>
      <c r="P4086" s="62">
        <f ca="1" t="shared" si="211"/>
        <v>31</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6" t="s">
        <v>167</v>
      </c>
      <c r="C4087" s="70">
        <v>45930</v>
      </c>
      <c r="D4087" s="120" t="str">
        <f>VLOOKUP(B4087,辅助信息!E:K,7,FALSE)</f>
        <v>JWDDCD2025102100473</v>
      </c>
      <c r="E4087" s="120" t="str">
        <f>VLOOKUP(F4087,辅助信息!A:B,2,FALSE)</f>
        <v>螺纹钢</v>
      </c>
      <c r="F4087" s="120" t="s">
        <v>21</v>
      </c>
      <c r="G4087" s="121">
        <v>5</v>
      </c>
      <c r="H4087" s="134">
        <f>IF(SUMIFS('[1]2025年已发货'!$E:$E,'[1]2025年已发货'!$F:$F,C4087,'[1]2025年已发货'!$C:$C,F4087,'[1]2025年已发货'!$G:$G,I4087,'[1]2025年已发货'!$H:$H,J4087)=0,"未发货",SUMIFS('[1]2025年已发货'!$E:$E,'[1]2025年已发货'!$F:$F,C4087,'[1]2025年已发货'!$C:$C,F4087,'[1]2025年已发货'!$G:$G,I4087,'[1]2025年已发货'!$H:$H,J4087))</f>
        <v>5</v>
      </c>
      <c r="I4087" s="120" t="str">
        <f>VLOOKUP(B4087,辅助信息!E:I,3,FALSE)</f>
        <v>(五冶建设扩建艺体中学二期工程)四川省成都市双流区光荣路成都艺体中学南200米</v>
      </c>
      <c r="J4087" s="120" t="str">
        <f>VLOOKUP(B4087,辅助信息!E:I,4,FALSE)</f>
        <v>谢序强</v>
      </c>
      <c r="K4087" s="120">
        <f>VLOOKUP(J4087,辅助信息!H:I,2,FALSE)</f>
        <v>13458588232</v>
      </c>
      <c r="L4087" s="122"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8">
        <v>45929</v>
      </c>
      <c r="O4087" s="62">
        <f ca="1" t="shared" si="210"/>
        <v>0</v>
      </c>
      <c r="P4087" s="62">
        <f ca="1" t="shared" si="211"/>
        <v>31</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6" t="s">
        <v>167</v>
      </c>
      <c r="C4088" s="70">
        <v>45930</v>
      </c>
      <c r="D4088" s="120" t="str">
        <f>VLOOKUP(B4088,辅助信息!E:K,7,FALSE)</f>
        <v>JWDDCD2025102100473</v>
      </c>
      <c r="E4088" s="120" t="str">
        <f>VLOOKUP(F4088,辅助信息!A:B,2,FALSE)</f>
        <v>螺纹钢</v>
      </c>
      <c r="F4088" s="120" t="s">
        <v>58</v>
      </c>
      <c r="G4088" s="121">
        <v>5</v>
      </c>
      <c r="H4088" s="134">
        <f>IF(SUMIFS('[1]2025年已发货'!$E:$E,'[1]2025年已发货'!$F:$F,C4088,'[1]2025年已发货'!$C:$C,F4088,'[1]2025年已发货'!$G:$G,I4088,'[1]2025年已发货'!$H:$H,J4088)=0,"未发货",SUMIFS('[1]2025年已发货'!$E:$E,'[1]2025年已发货'!$F:$F,C4088,'[1]2025年已发货'!$C:$C,F4088,'[1]2025年已发货'!$G:$G,I4088,'[1]2025年已发货'!$H:$H,J4088))</f>
        <v>5</v>
      </c>
      <c r="I4088" s="120" t="str">
        <f>VLOOKUP(B4088,辅助信息!E:I,3,FALSE)</f>
        <v>(五冶建设扩建艺体中学二期工程)四川省成都市双流区光荣路成都艺体中学南200米</v>
      </c>
      <c r="J4088" s="120" t="str">
        <f>VLOOKUP(B4088,辅助信息!E:I,4,FALSE)</f>
        <v>谢序强</v>
      </c>
      <c r="K4088" s="120">
        <f>VLOOKUP(J4088,辅助信息!H:I,2,FALSE)</f>
        <v>13458588232</v>
      </c>
      <c r="L4088" s="122"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8"/>
      <c r="O4088" s="62" t="str">
        <f ca="1" t="shared" si="210"/>
        <v/>
      </c>
      <c r="P4088" s="62"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6" t="s">
        <v>167</v>
      </c>
      <c r="C4089" s="70">
        <v>45930</v>
      </c>
      <c r="D4089" s="120" t="str">
        <f>VLOOKUP(B4089,辅助信息!E:K,7,FALSE)</f>
        <v>JWDDCD2025102100473</v>
      </c>
      <c r="E4089" s="120" t="str">
        <f>VLOOKUP(F4089,辅助信息!A:B,2,FALSE)</f>
        <v>螺纹钢</v>
      </c>
      <c r="F4089" s="120" t="s">
        <v>46</v>
      </c>
      <c r="G4089" s="121">
        <v>5</v>
      </c>
      <c r="H4089" s="134">
        <f>IF(SUMIFS('[1]2025年已发货'!$E:$E,'[1]2025年已发货'!$F:$F,C4089,'[1]2025年已发货'!$C:$C,F4089,'[1]2025年已发货'!$G:$G,I4089,'[1]2025年已发货'!$H:$H,J4089)=0,"未发货",SUMIFS('[1]2025年已发货'!$E:$E,'[1]2025年已发货'!$F:$F,C4089,'[1]2025年已发货'!$C:$C,F4089,'[1]2025年已发货'!$G:$G,I4089,'[1]2025年已发货'!$H:$H,J4089))</f>
        <v>5</v>
      </c>
      <c r="I4089" s="120" t="str">
        <f>VLOOKUP(B4089,辅助信息!E:I,3,FALSE)</f>
        <v>(五冶建设扩建艺体中学二期工程)四川省成都市双流区光荣路成都艺体中学南200米</v>
      </c>
      <c r="J4089" s="120" t="str">
        <f>VLOOKUP(B4089,辅助信息!E:I,4,FALSE)</f>
        <v>谢序强</v>
      </c>
      <c r="K4089" s="120">
        <f>VLOOKUP(J4089,辅助信息!H:I,2,FALSE)</f>
        <v>13458588232</v>
      </c>
      <c r="L4089" s="122"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8">
        <v>45929</v>
      </c>
      <c r="O4089" s="62">
        <f ca="1" t="shared" si="210"/>
        <v>0</v>
      </c>
      <c r="P4089" s="62">
        <f ca="1" t="shared" si="211"/>
        <v>31</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6" t="s">
        <v>167</v>
      </c>
      <c r="C4090" s="70">
        <v>45930</v>
      </c>
      <c r="D4090" s="120" t="str">
        <f>VLOOKUP(B4090,辅助信息!E:K,7,FALSE)</f>
        <v>JWDDCD2025102100473</v>
      </c>
      <c r="E4090" s="120" t="str">
        <f>VLOOKUP(F4090,辅助信息!A:B,2,FALSE)</f>
        <v>螺纹钢</v>
      </c>
      <c r="F4090" s="120" t="s">
        <v>22</v>
      </c>
      <c r="G4090" s="121">
        <v>35</v>
      </c>
      <c r="H4090" s="134">
        <f>IF(SUMIFS('[1]2025年已发货'!$E:$E,'[1]2025年已发货'!$F:$F,C4090,'[1]2025年已发货'!$C:$C,F4090,'[1]2025年已发货'!$G:$G,I4090,'[1]2025年已发货'!$H:$H,J4090)=0,"未发货",SUMIFS('[1]2025年已发货'!$E:$E,'[1]2025年已发货'!$F:$F,C4090,'[1]2025年已发货'!$C:$C,F4090,'[1]2025年已发货'!$G:$G,I4090,'[1]2025年已发货'!$H:$H,J4090))</f>
        <v>35</v>
      </c>
      <c r="I4090" s="120" t="str">
        <f>VLOOKUP(B4090,辅助信息!E:I,3,FALSE)</f>
        <v>(五冶建设扩建艺体中学二期工程)四川省成都市双流区光荣路成都艺体中学南200米</v>
      </c>
      <c r="J4090" s="120" t="str">
        <f>VLOOKUP(B4090,辅助信息!E:I,4,FALSE)</f>
        <v>谢序强</v>
      </c>
      <c r="K4090" s="120">
        <f>VLOOKUP(J4090,辅助信息!H:I,2,FALSE)</f>
        <v>13458588232</v>
      </c>
      <c r="L4090" s="122"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8">
        <v>45929</v>
      </c>
      <c r="O4090" s="62">
        <f ca="1" t="shared" si="210"/>
        <v>0</v>
      </c>
      <c r="P4090" s="62">
        <f ca="1" t="shared" si="211"/>
        <v>31</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6" t="s">
        <v>167</v>
      </c>
      <c r="C4091" s="70">
        <v>45930</v>
      </c>
      <c r="D4091" s="120" t="str">
        <f>VLOOKUP(B4091,辅助信息!E:K,7,FALSE)</f>
        <v>JWDDCD2025102100473</v>
      </c>
      <c r="E4091" s="120" t="str">
        <f>VLOOKUP(F4091,辅助信息!A:B,2,FALSE)</f>
        <v>螺纹钢</v>
      </c>
      <c r="F4091" s="120" t="s">
        <v>181</v>
      </c>
      <c r="G4091" s="121">
        <v>10</v>
      </c>
      <c r="H4091" s="134">
        <f>IF(SUMIFS('[1]2025年已发货'!$E:$E,'[1]2025年已发货'!$F:$F,C4091,'[1]2025年已发货'!$C:$C,F4091,'[1]2025年已发货'!$G:$G,I4091,'[1]2025年已发货'!$H:$H,J4091)=0,"未发货",SUMIFS('[1]2025年已发货'!$E:$E,'[1]2025年已发货'!$F:$F,C4091,'[1]2025年已发货'!$C:$C,F4091,'[1]2025年已发货'!$G:$G,I4091,'[1]2025年已发货'!$H:$H,J4091))</f>
        <v>10</v>
      </c>
      <c r="I4091" s="120" t="str">
        <f>VLOOKUP(B4091,辅助信息!E:I,3,FALSE)</f>
        <v>(五冶建设扩建艺体中学二期工程)四川省成都市双流区光荣路成都艺体中学南200米</v>
      </c>
      <c r="J4091" s="120" t="str">
        <f>VLOOKUP(B4091,辅助信息!E:I,4,FALSE)</f>
        <v>谢序强</v>
      </c>
      <c r="K4091" s="120">
        <f>VLOOKUP(J4091,辅助信息!H:I,2,FALSE)</f>
        <v>13458588232</v>
      </c>
      <c r="L4091" s="122"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8">
        <v>45929</v>
      </c>
      <c r="O4091" s="62">
        <f ca="1" t="shared" si="210"/>
        <v>0</v>
      </c>
      <c r="P4091" s="62">
        <f ca="1" t="shared" si="211"/>
        <v>31</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6" t="s">
        <v>167</v>
      </c>
      <c r="C4092" s="70">
        <v>45930</v>
      </c>
      <c r="D4092" s="120" t="str">
        <f>VLOOKUP(B4092,辅助信息!E:K,7,FALSE)</f>
        <v>JWDDCD2025102100473</v>
      </c>
      <c r="E4092" s="120" t="str">
        <f>VLOOKUP(F4092,辅助信息!A:B,2,FALSE)</f>
        <v>螺纹钢</v>
      </c>
      <c r="F4092" s="120" t="s">
        <v>182</v>
      </c>
      <c r="G4092" s="121">
        <f>43-28</f>
        <v>15</v>
      </c>
      <c r="H4092" s="134">
        <f>IF(SUMIFS('[1]2025年已发货'!$E:$E,'[1]2025年已发货'!$F:$F,C4092,'[1]2025年已发货'!$C:$C,F4092,'[1]2025年已发货'!$G:$G,I4092,'[1]2025年已发货'!$H:$H,J4092)=0,"未发货",SUMIFS('[1]2025年已发货'!$E:$E,'[1]2025年已发货'!$F:$F,C4092,'[1]2025年已发货'!$C:$C,F4092,'[1]2025年已发货'!$G:$G,I4092,'[1]2025年已发货'!$H:$H,J4092))</f>
        <v>15</v>
      </c>
      <c r="I4092" s="120" t="str">
        <f>VLOOKUP(B4092,辅助信息!E:I,3,FALSE)</f>
        <v>(五冶建设扩建艺体中学二期工程)四川省成都市双流区光荣路成都艺体中学南200米</v>
      </c>
      <c r="J4092" s="120" t="str">
        <f>VLOOKUP(B4092,辅助信息!E:I,4,FALSE)</f>
        <v>谢序强</v>
      </c>
      <c r="K4092" s="120">
        <f>VLOOKUP(J4092,辅助信息!H:I,2,FALSE)</f>
        <v>13458588232</v>
      </c>
      <c r="L4092" s="122"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8">
        <v>45929</v>
      </c>
      <c r="O4092" s="62">
        <f ca="1" t="shared" si="210"/>
        <v>0</v>
      </c>
      <c r="P4092" s="62">
        <f ca="1" t="shared" si="211"/>
        <v>31</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6" t="s">
        <v>167</v>
      </c>
      <c r="C4093" s="70">
        <v>45930</v>
      </c>
      <c r="D4093" s="120" t="str">
        <f>VLOOKUP(B4093,辅助信息!E:K,7,FALSE)</f>
        <v>JWDDCD2025102100473</v>
      </c>
      <c r="E4093" s="120" t="str">
        <f>VLOOKUP(F4093,辅助信息!A:B,2,FALSE)</f>
        <v>盘螺</v>
      </c>
      <c r="F4093" s="120" t="s">
        <v>41</v>
      </c>
      <c r="G4093" s="121">
        <v>20</v>
      </c>
      <c r="H4093" s="134">
        <f>IF(SUMIFS('[1]2025年已发货'!$E:$E,'[1]2025年已发货'!$F:$F,C4093,'[1]2025年已发货'!$C:$C,F4093,'[1]2025年已发货'!$G:$G,I4093,'[1]2025年已发货'!$H:$H,J4093)=0,"未发货",SUMIFS('[1]2025年已发货'!$E:$E,'[1]2025年已发货'!$F:$F,C4093,'[1]2025年已发货'!$C:$C,F4093,'[1]2025年已发货'!$G:$G,I4093,'[1]2025年已发货'!$H:$H,J4093))</f>
        <v>20</v>
      </c>
      <c r="I4093" s="120" t="str">
        <f>VLOOKUP(B4093,辅助信息!E:I,3,FALSE)</f>
        <v>(五冶建设扩建艺体中学二期工程)四川省成都市双流区光荣路成都艺体中学南200米</v>
      </c>
      <c r="J4093" s="120" t="str">
        <f>VLOOKUP(B4093,辅助信息!E:I,4,FALSE)</f>
        <v>谢序强</v>
      </c>
      <c r="K4093" s="120">
        <f>VLOOKUP(J4093,辅助信息!H:I,2,FALSE)</f>
        <v>13458588232</v>
      </c>
      <c r="L4093" s="122"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8">
        <v>45929</v>
      </c>
      <c r="O4093" s="62">
        <f ca="1" t="shared" si="210"/>
        <v>0</v>
      </c>
      <c r="P4093" s="62">
        <f ca="1" t="shared" si="211"/>
        <v>31</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6" t="s">
        <v>167</v>
      </c>
      <c r="C4094" s="70">
        <v>45930</v>
      </c>
      <c r="D4094" s="120" t="str">
        <f>VLOOKUP(B4094,辅助信息!E:K,7,FALSE)</f>
        <v>JWDDCD2025102100473</v>
      </c>
      <c r="E4094" s="120" t="str">
        <f>VLOOKUP(F4094,辅助信息!A:B,2,FALSE)</f>
        <v>盘螺</v>
      </c>
      <c r="F4094" s="120" t="s">
        <v>40</v>
      </c>
      <c r="G4094" s="121">
        <v>10</v>
      </c>
      <c r="H4094" s="134">
        <f>IF(SUMIFS('[1]2025年已发货'!$E:$E,'[1]2025年已发货'!$F:$F,C4094,'[1]2025年已发货'!$C:$C,F4094,'[1]2025年已发货'!$G:$G,I4094,'[1]2025年已发货'!$H:$H,J4094)=0,"未发货",SUMIFS('[1]2025年已发货'!$E:$E,'[1]2025年已发货'!$F:$F,C4094,'[1]2025年已发货'!$C:$C,F4094,'[1]2025年已发货'!$G:$G,I4094,'[1]2025年已发货'!$H:$H,J4094))</f>
        <v>10</v>
      </c>
      <c r="I4094" s="120" t="str">
        <f>VLOOKUP(B4094,辅助信息!E:I,3,FALSE)</f>
        <v>(五冶建设扩建艺体中学二期工程)四川省成都市双流区光荣路成都艺体中学南200米</v>
      </c>
      <c r="J4094" s="120" t="str">
        <f>VLOOKUP(B4094,辅助信息!E:I,4,FALSE)</f>
        <v>谢序强</v>
      </c>
      <c r="K4094" s="120">
        <f>VLOOKUP(J4094,辅助信息!H:I,2,FALSE)</f>
        <v>13458588232</v>
      </c>
      <c r="L4094" s="122"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8">
        <v>45929</v>
      </c>
      <c r="O4094" s="62">
        <f ca="1" t="shared" si="210"/>
        <v>0</v>
      </c>
      <c r="P4094" s="62">
        <f ca="1" t="shared" si="211"/>
        <v>31</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6" t="s">
        <v>204</v>
      </c>
      <c r="C4095" s="70">
        <v>45930</v>
      </c>
      <c r="D4095" s="120" t="str">
        <f>VLOOKUP(B4095,辅助信息!E:K,7,FALSE)</f>
        <v>JWDDCD2025062200016</v>
      </c>
      <c r="E4095" s="120" t="str">
        <f>VLOOKUP(F4095,辅助信息!A:B,2,FALSE)</f>
        <v>螺纹钢</v>
      </c>
      <c r="F4095" s="120" t="s">
        <v>30</v>
      </c>
      <c r="G4095" s="121">
        <v>32</v>
      </c>
      <c r="H4095" s="134"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0" t="str">
        <f>VLOOKUP(B4095,辅助信息!E:I,3,FALSE)</f>
        <v>(武汉电气化局成达万高铁强电项目-达州主城区-达州南站)四川省达州市达川区达州南站</v>
      </c>
      <c r="J4095" s="120" t="str">
        <f>VLOOKUP(B4095,辅助信息!E:I,4,FALSE)</f>
        <v>杨人志</v>
      </c>
      <c r="K4095" s="120">
        <f>VLOOKUP(J4095,辅助信息!H:I,2,FALSE)</f>
        <v>18782679099</v>
      </c>
      <c r="L4095" s="122" t="str">
        <f>VLOOKUP(B4095,辅助信息!E:J,6,FALSE)</f>
        <v>锈货不收！！下雨天钢筋没盖篷布不收！！，装货前联系收货人核实到场规格,没提前告知进场规格现场不给予接收</v>
      </c>
      <c r="O4095" s="62" t="str">
        <f ca="1" t="shared" si="210"/>
        <v/>
      </c>
      <c r="P4095" s="62"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6" t="s">
        <v>204</v>
      </c>
      <c r="C4096" s="70">
        <v>45930</v>
      </c>
      <c r="D4096" s="120" t="str">
        <f>VLOOKUP(B4096,辅助信息!E:K,7,FALSE)</f>
        <v>JWDDCD2025062200016</v>
      </c>
      <c r="E4096" s="120" t="str">
        <f>VLOOKUP(F4096,辅助信息!A:B,2,FALSE)</f>
        <v>螺纹钢</v>
      </c>
      <c r="F4096" s="120" t="s">
        <v>28</v>
      </c>
      <c r="G4096" s="121">
        <v>3</v>
      </c>
      <c r="H4096" s="134"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0" t="str">
        <f>VLOOKUP(B4096,辅助信息!E:I,3,FALSE)</f>
        <v>(武汉电气化局成达万高铁强电项目-达州主城区-达州南站)四川省达州市达川区达州南站</v>
      </c>
      <c r="J4096" s="120" t="str">
        <f>VLOOKUP(B4096,辅助信息!E:I,4,FALSE)</f>
        <v>杨人志</v>
      </c>
      <c r="K4096" s="120">
        <f>VLOOKUP(J4096,辅助信息!H:I,2,FALSE)</f>
        <v>18782679099</v>
      </c>
      <c r="L4096" s="122" t="str">
        <f>VLOOKUP(B4096,辅助信息!E:J,6,FALSE)</f>
        <v>锈货不收！！下雨天钢筋没盖篷布不收！！，装货前联系收货人核实到场规格,没提前告知进场规格现场不给予接收</v>
      </c>
      <c r="O4096" s="62" t="str">
        <f ca="1" t="shared" si="210"/>
        <v/>
      </c>
      <c r="P4096" s="62"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6" t="s">
        <v>169</v>
      </c>
      <c r="C4097" s="70">
        <v>45930</v>
      </c>
      <c r="D4097" s="120" t="str">
        <f>VLOOKUP(B4097,辅助信息!E:K,7,FALSE)</f>
        <v>JWDDCD2025051800044</v>
      </c>
      <c r="E4097" s="120" t="str">
        <f>VLOOKUP(F4097,辅助信息!A:B,2,FALSE)</f>
        <v>高线</v>
      </c>
      <c r="F4097" s="120" t="s">
        <v>51</v>
      </c>
      <c r="G4097" s="121">
        <v>35</v>
      </c>
      <c r="H4097" s="134">
        <f>IF(SUMIFS('[1]2025年已发货'!$E:$E,'[1]2025年已发货'!$F:$F,C4097,'[1]2025年已发货'!$C:$C,F4097,'[1]2025年已发货'!$G:$G,I4097,'[1]2025年已发货'!$H:$H,J4097)=0,"未发货",SUMIFS('[1]2025年已发货'!$E:$E,'[1]2025年已发货'!$F:$F,C4097,'[1]2025年已发货'!$C:$C,F4097,'[1]2025年已发货'!$G:$G,I4097,'[1]2025年已发货'!$H:$H,J4097))</f>
        <v>35</v>
      </c>
      <c r="I4097" s="120" t="str">
        <f>VLOOKUP(B4097,辅助信息!E:I,3,FALSE)</f>
        <v>(五冶建设龙泉芙蓉花语项目-1,3地块)龙泉驿区北川路双堰塘钓鱼东100米(北川路)</v>
      </c>
      <c r="J4097" s="120" t="str">
        <f>VLOOKUP(B4097,辅助信息!E:I,4,FALSE)</f>
        <v>祝斯阳</v>
      </c>
      <c r="K4097" s="120">
        <f>VLOOKUP(J4097,辅助信息!H:I,2,FALSE)</f>
        <v>15583590797</v>
      </c>
      <c r="L4097" s="122"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2" t="str">
        <f ca="1" t="shared" si="210"/>
        <v/>
      </c>
      <c r="P4097" s="62"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6" t="s">
        <v>169</v>
      </c>
      <c r="C4098" s="70">
        <v>45930</v>
      </c>
      <c r="D4098" s="120" t="str">
        <f>VLOOKUP(B4098,辅助信息!E:K,7,FALSE)</f>
        <v>JWDDCD2025051800044</v>
      </c>
      <c r="E4098" s="120" t="str">
        <f>VLOOKUP(F4098,辅助信息!A:B,2,FALSE)</f>
        <v>螺纹钢</v>
      </c>
      <c r="F4098" s="120" t="s">
        <v>28</v>
      </c>
      <c r="G4098" s="121">
        <v>105</v>
      </c>
      <c r="H4098" s="134">
        <f>IF(SUMIFS('[1]2025年已发货'!$E:$E,'[1]2025年已发货'!$F:$F,C4098,'[1]2025年已发货'!$C:$C,F4098,'[1]2025年已发货'!$G:$G,I4098,'[1]2025年已发货'!$H:$H,J4098)=0,"未发货",SUMIFS('[1]2025年已发货'!$E:$E,'[1]2025年已发货'!$F:$F,C4098,'[1]2025年已发货'!$C:$C,F4098,'[1]2025年已发货'!$G:$G,I4098,'[1]2025年已发货'!$H:$H,J4098))</f>
        <v>105</v>
      </c>
      <c r="I4098" s="120" t="str">
        <f>VLOOKUP(B4098,辅助信息!E:I,3,FALSE)</f>
        <v>(五冶建设龙泉芙蓉花语项目-1,3地块)龙泉驿区北川路双堰塘钓鱼东100米(北川路)</v>
      </c>
      <c r="J4098" s="120" t="str">
        <f>VLOOKUP(B4098,辅助信息!E:I,4,FALSE)</f>
        <v>祝斯阳</v>
      </c>
      <c r="K4098" s="120">
        <f>VLOOKUP(J4098,辅助信息!H:I,2,FALSE)</f>
        <v>15583590797</v>
      </c>
      <c r="L4098" s="122"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2" t="str">
        <f ca="1" t="shared" si="210"/>
        <v/>
      </c>
      <c r="P4098" s="62"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5" t="s">
        <v>163</v>
      </c>
      <c r="C4099" s="70">
        <v>45930</v>
      </c>
      <c r="D4099" s="40" t="str">
        <f>VLOOKUP(B4099,辅助信息!E:K,7,FALSE)</f>
        <v>JWDDCD2025052800131</v>
      </c>
      <c r="E4099" s="40" t="str">
        <f>VLOOKUP(F4099,辅助信息!A:B,2,FALSE)</f>
        <v>盘螺</v>
      </c>
      <c r="F4099" s="40" t="s">
        <v>49</v>
      </c>
      <c r="G4099" s="36">
        <v>10</v>
      </c>
      <c r="H4099" s="134"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09" t="str">
        <f>VLOOKUP(B4099,辅助信息!E:J,6,FALSE)</f>
        <v>控制炉批号！多了现场不收！,优先安排达钢,提前联系到场规格及数量</v>
      </c>
      <c r="O4099" s="62" t="str">
        <f ca="1" t="shared" si="210"/>
        <v/>
      </c>
      <c r="P4099" s="62"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5" t="s">
        <v>163</v>
      </c>
      <c r="C4100" s="70">
        <v>45930</v>
      </c>
      <c r="D4100" s="40" t="str">
        <f>VLOOKUP(B4100,辅助信息!E:K,7,FALSE)</f>
        <v>JWDDCD2025052800131</v>
      </c>
      <c r="E4100" s="40" t="str">
        <f>VLOOKUP(F4100,辅助信息!A:B,2,FALSE)</f>
        <v>盘螺</v>
      </c>
      <c r="F4100" s="40" t="s">
        <v>40</v>
      </c>
      <c r="G4100" s="36">
        <v>40</v>
      </c>
      <c r="H4100" s="134"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09" t="str">
        <f>VLOOKUP(B4100,辅助信息!E:J,6,FALSE)</f>
        <v>控制炉批号！多了现场不收！,优先安排达钢,提前联系到场规格及数量</v>
      </c>
      <c r="O4100" s="62" t="str">
        <f ca="1" t="shared" si="210"/>
        <v/>
      </c>
      <c r="P4100" s="62"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5" t="s">
        <v>163</v>
      </c>
      <c r="C4101" s="70">
        <v>45930</v>
      </c>
      <c r="D4101" s="40" t="str">
        <f>VLOOKUP(B4101,辅助信息!E:K,7,FALSE)</f>
        <v>JWDDCD2025052800131</v>
      </c>
      <c r="E4101" s="40" t="str">
        <f>VLOOKUP(F4101,辅助信息!A:B,2,FALSE)</f>
        <v>盘螺</v>
      </c>
      <c r="F4101" s="40" t="s">
        <v>41</v>
      </c>
      <c r="G4101" s="36">
        <v>20</v>
      </c>
      <c r="H4101" s="134"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09" t="str">
        <f>VLOOKUP(B4101,辅助信息!E:J,6,FALSE)</f>
        <v>控制炉批号！多了现场不收！,优先安排达钢,提前联系到场规格及数量</v>
      </c>
      <c r="O4101" s="62" t="str">
        <f ca="1" t="shared" si="210"/>
        <v/>
      </c>
      <c r="P4101" s="62"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5" t="s">
        <v>163</v>
      </c>
      <c r="C4102" s="70">
        <v>45930</v>
      </c>
      <c r="D4102" s="40" t="str">
        <f>VLOOKUP(B4102,辅助信息!E:K,7,FALSE)</f>
        <v>JWDDCD2025052800131</v>
      </c>
      <c r="E4102" s="40" t="str">
        <f>VLOOKUP(F4102,辅助信息!A:B,2,FALSE)</f>
        <v>螺纹钢</v>
      </c>
      <c r="F4102" s="40" t="s">
        <v>66</v>
      </c>
      <c r="G4102" s="36">
        <v>6</v>
      </c>
      <c r="H4102" s="134"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09" t="str">
        <f>VLOOKUP(B4102,辅助信息!E:J,6,FALSE)</f>
        <v>控制炉批号！多了现场不收！,优先安排达钢,提前联系到场规格及数量</v>
      </c>
      <c r="O4102" s="62" t="str">
        <f ca="1" t="shared" si="210"/>
        <v/>
      </c>
      <c r="P4102" s="62"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5" t="s">
        <v>163</v>
      </c>
      <c r="C4103" s="70">
        <v>45930</v>
      </c>
      <c r="D4103" s="40" t="str">
        <f>VLOOKUP(B4103,辅助信息!E:K,7,FALSE)</f>
        <v>JWDDCD2025052800131</v>
      </c>
      <c r="E4103" s="40" t="str">
        <f>VLOOKUP(F4103,辅助信息!A:B,2,FALSE)</f>
        <v>螺纹钢</v>
      </c>
      <c r="F4103" s="40" t="s">
        <v>58</v>
      </c>
      <c r="G4103" s="36">
        <v>15</v>
      </c>
      <c r="H4103" s="134"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09" t="str">
        <f>VLOOKUP(B4103,辅助信息!E:J,6,FALSE)</f>
        <v>控制炉批号！多了现场不收！,优先安排达钢,提前联系到场规格及数量</v>
      </c>
      <c r="O4103" s="62" t="str">
        <f ca="1" t="shared" si="210"/>
        <v/>
      </c>
      <c r="P4103" s="62"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5" t="s">
        <v>163</v>
      </c>
      <c r="C4104" s="70">
        <v>45930</v>
      </c>
      <c r="D4104" s="40" t="str">
        <f>VLOOKUP(B4104,辅助信息!E:K,7,FALSE)</f>
        <v>JWDDCD2025052800131</v>
      </c>
      <c r="E4104" s="40" t="str">
        <f>VLOOKUP(F4104,辅助信息!A:B,2,FALSE)</f>
        <v>螺纹钢</v>
      </c>
      <c r="F4104" s="40" t="s">
        <v>22</v>
      </c>
      <c r="G4104" s="36">
        <v>15</v>
      </c>
      <c r="H4104" s="134"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09" t="str">
        <f>VLOOKUP(B4104,辅助信息!E:J,6,FALSE)</f>
        <v>控制炉批号！多了现场不收！,优先安排达钢,提前联系到场规格及数量</v>
      </c>
      <c r="O4104" s="62" t="str">
        <f ca="1" t="shared" si="210"/>
        <v/>
      </c>
      <c r="P4104" s="62"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5" t="s">
        <v>112</v>
      </c>
      <c r="C4105" s="70">
        <v>45937</v>
      </c>
      <c r="D4105" s="40" t="str">
        <f>VLOOKUP(B4105,辅助信息!E:K,7,FALSE)</f>
        <v>JWDDCD2025052800131</v>
      </c>
      <c r="E4105" s="40" t="str">
        <f>VLOOKUP(F4105,辅助信息!A:B,2,FALSE)</f>
        <v>盘螺</v>
      </c>
      <c r="F4105" s="40" t="s">
        <v>40</v>
      </c>
      <c r="G4105" s="36">
        <v>24</v>
      </c>
      <c r="H4105" s="134">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09" t="str">
        <f>VLOOKUP(B4105,辅助信息!E:J,6,FALSE)</f>
        <v>控制炉批号！多了现场不收！,优先安排达钢,提前联系到场规格及数量</v>
      </c>
      <c r="O4105" s="62" t="str">
        <f ca="1" t="shared" si="210"/>
        <v/>
      </c>
      <c r="P4105" s="62"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5" t="s">
        <v>112</v>
      </c>
      <c r="C4106" s="70">
        <v>45937</v>
      </c>
      <c r="D4106" s="40" t="str">
        <f>VLOOKUP(B4106,辅助信息!E:K,7,FALSE)</f>
        <v>JWDDCD2025052800131</v>
      </c>
      <c r="E4106" s="40" t="str">
        <f>VLOOKUP(F4106,辅助信息!A:B,2,FALSE)</f>
        <v>盘螺</v>
      </c>
      <c r="F4106" s="40" t="s">
        <v>41</v>
      </c>
      <c r="G4106" s="36">
        <v>6</v>
      </c>
      <c r="H4106" s="134">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09" t="str">
        <f>VLOOKUP(B4106,辅助信息!E:J,6,FALSE)</f>
        <v>控制炉批号！多了现场不收！,优先安排达钢,提前联系到场规格及数量</v>
      </c>
      <c r="O4106" s="62" t="str">
        <f ca="1" t="shared" si="210"/>
        <v/>
      </c>
      <c r="P4106" s="62"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5" t="s">
        <v>112</v>
      </c>
      <c r="C4107" s="70">
        <v>45937</v>
      </c>
      <c r="D4107" s="40" t="str">
        <f>VLOOKUP(B4107,辅助信息!E:K,7,FALSE)</f>
        <v>JWDDCD2025052800131</v>
      </c>
      <c r="E4107" s="40" t="str">
        <f>VLOOKUP(F4107,辅助信息!A:B,2,FALSE)</f>
        <v>螺纹钢</v>
      </c>
      <c r="F4107" s="40" t="s">
        <v>27</v>
      </c>
      <c r="G4107" s="36">
        <v>6</v>
      </c>
      <c r="H4107" s="134">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09" t="str">
        <f>VLOOKUP(B4107,辅助信息!E:J,6,FALSE)</f>
        <v>控制炉批号！多了现场不收！,优先安排达钢,提前联系到场规格及数量</v>
      </c>
      <c r="O4107" s="62" t="str">
        <f ca="1" t="shared" si="210"/>
        <v/>
      </c>
      <c r="P4107" s="62"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5" t="s">
        <v>112</v>
      </c>
      <c r="C4108" s="70">
        <v>45937</v>
      </c>
      <c r="D4108" s="40" t="str">
        <f>VLOOKUP(B4108,辅助信息!E:K,7,FALSE)</f>
        <v>JWDDCD2025052800131</v>
      </c>
      <c r="E4108" s="40" t="str">
        <f>VLOOKUP(F4108,辅助信息!A:B,2,FALSE)</f>
        <v>螺纹钢</v>
      </c>
      <c r="F4108" s="40" t="s">
        <v>32</v>
      </c>
      <c r="G4108" s="36">
        <v>3</v>
      </c>
      <c r="H4108" s="134">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09" t="str">
        <f>VLOOKUP(B4108,辅助信息!E:J,6,FALSE)</f>
        <v>控制炉批号！多了现场不收！,优先安排达钢,提前联系到场规格及数量</v>
      </c>
      <c r="O4108" s="62" t="str">
        <f ca="1" t="shared" si="210"/>
        <v/>
      </c>
      <c r="P4108" s="62"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5" t="s">
        <v>112</v>
      </c>
      <c r="C4109" s="70">
        <v>45937</v>
      </c>
      <c r="D4109" s="40" t="str">
        <f>VLOOKUP(B4109,辅助信息!E:K,7,FALSE)</f>
        <v>JWDDCD2025052800131</v>
      </c>
      <c r="E4109" s="40" t="str">
        <f>VLOOKUP(F4109,辅助信息!A:B,2,FALSE)</f>
        <v>螺纹钢</v>
      </c>
      <c r="F4109" s="40" t="s">
        <v>58</v>
      </c>
      <c r="G4109" s="36">
        <v>6</v>
      </c>
      <c r="H4109" s="134">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09" t="str">
        <f>VLOOKUP(B4109,辅助信息!E:J,6,FALSE)</f>
        <v>控制炉批号！多了现场不收！,优先安排达钢,提前联系到场规格及数量</v>
      </c>
      <c r="O4109" s="62" t="str">
        <f ca="1" t="shared" si="210"/>
        <v/>
      </c>
      <c r="P4109" s="62"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5" t="s">
        <v>163</v>
      </c>
      <c r="C4110" s="70">
        <v>45937</v>
      </c>
      <c r="D4110" s="40" t="str">
        <f>VLOOKUP(B4110,辅助信息!E:K,7,FALSE)</f>
        <v>JWDDCD2025052800131</v>
      </c>
      <c r="E4110" s="40" t="str">
        <f>VLOOKUP(F4110,辅助信息!A:B,2,FALSE)</f>
        <v>螺纹钢</v>
      </c>
      <c r="F4110" s="40" t="s">
        <v>66</v>
      </c>
      <c r="G4110" s="36">
        <v>6</v>
      </c>
      <c r="H4110" s="134">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09" t="str">
        <f>VLOOKUP(B4110,辅助信息!E:J,6,FALSE)</f>
        <v>控制炉批号！多了现场不收！,优先安排达钢,提前联系到场规格及数量</v>
      </c>
      <c r="O4110" s="62" t="str">
        <f ca="1" t="shared" si="210"/>
        <v/>
      </c>
      <c r="P4110" s="62"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5" t="s">
        <v>163</v>
      </c>
      <c r="C4111" s="70">
        <v>45937</v>
      </c>
      <c r="D4111" s="40" t="str">
        <f>VLOOKUP(B4111,辅助信息!E:K,7,FALSE)</f>
        <v>JWDDCD2025052800131</v>
      </c>
      <c r="E4111" s="40" t="str">
        <f>VLOOKUP(F4111,辅助信息!A:B,2,FALSE)</f>
        <v>螺纹钢</v>
      </c>
      <c r="F4111" s="40" t="s">
        <v>45</v>
      </c>
      <c r="G4111" s="36">
        <v>9</v>
      </c>
      <c r="H4111" s="134">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09" t="str">
        <f>VLOOKUP(B4111,辅助信息!E:J,6,FALSE)</f>
        <v>控制炉批号！多了现场不收！,优先安排达钢,提前联系到场规格及数量</v>
      </c>
      <c r="O4111" s="62" t="str">
        <f ca="1" t="shared" si="210"/>
        <v/>
      </c>
      <c r="P4111" s="62"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5" t="s">
        <v>163</v>
      </c>
      <c r="C4112" s="70">
        <v>45937</v>
      </c>
      <c r="D4112" s="40" t="str">
        <f>VLOOKUP(B4112,辅助信息!E:K,7,FALSE)</f>
        <v>JWDDCD2025052800131</v>
      </c>
      <c r="E4112" s="40" t="str">
        <f>VLOOKUP(F4112,辅助信息!A:B,2,FALSE)</f>
        <v>螺纹钢</v>
      </c>
      <c r="F4112" s="40" t="s">
        <v>21</v>
      </c>
      <c r="G4112" s="36">
        <v>18</v>
      </c>
      <c r="H4112" s="134">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09" t="str">
        <f>VLOOKUP(B4112,辅助信息!E:J,6,FALSE)</f>
        <v>控制炉批号！多了现场不收！,优先安排达钢,提前联系到场规格及数量</v>
      </c>
      <c r="O4112" s="62" t="str">
        <f ca="1" t="shared" si="210"/>
        <v/>
      </c>
      <c r="P4112" s="62"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5" t="s">
        <v>208</v>
      </c>
      <c r="C4113" s="70">
        <v>45937</v>
      </c>
      <c r="D4113" s="40" t="str">
        <f>VLOOKUP(B4113,辅助信息!E:K,7,FALSE)</f>
        <v>JWDDCD2025102100480</v>
      </c>
      <c r="E4113" s="40" t="str">
        <f>VLOOKUP(F4113,辅助信息!A:B,2,FALSE)</f>
        <v>螺纹钢</v>
      </c>
      <c r="F4113" s="40" t="s">
        <v>19</v>
      </c>
      <c r="G4113" s="36">
        <v>5.4</v>
      </c>
      <c r="H4113" s="134"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09" t="str">
        <f>VLOOKUP(B4113,辅助信息!E:J,6,FALSE)</f>
        <v>联系实际收货人（陶杰13980247952）五冶建设送货单,6份材质书,锈货不收，装货前联系收货人核实到场规格,没提前告知进场规格现场不给予接收</v>
      </c>
      <c r="O4113" s="62" t="str">
        <f ca="1" t="shared" si="210"/>
        <v/>
      </c>
      <c r="P4113" s="62"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5" t="s">
        <v>208</v>
      </c>
      <c r="C4114" s="70">
        <v>45937</v>
      </c>
      <c r="D4114" s="40" t="str">
        <f>VLOOKUP(B4114,辅助信息!E:K,7,FALSE)</f>
        <v>JWDDCD2025102100480</v>
      </c>
      <c r="E4114" s="40" t="str">
        <f>VLOOKUP(F4114,辅助信息!A:B,2,FALSE)</f>
        <v>螺纹钢</v>
      </c>
      <c r="F4114" s="40" t="s">
        <v>32</v>
      </c>
      <c r="G4114" s="36">
        <v>11</v>
      </c>
      <c r="H4114" s="134"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09" t="str">
        <f>VLOOKUP(B4114,辅助信息!E:J,6,FALSE)</f>
        <v>联系实际收货人（陶杰13980247952）五冶建设送货单,6份材质书,锈货不收，装货前联系收货人核实到场规格,没提前告知进场规格现场不给予接收</v>
      </c>
      <c r="O4114" s="62" t="str">
        <f ca="1" t="shared" si="210"/>
        <v/>
      </c>
      <c r="P4114" s="62"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5" t="s">
        <v>208</v>
      </c>
      <c r="C4115" s="70">
        <v>45937</v>
      </c>
      <c r="D4115" s="40" t="str">
        <f>VLOOKUP(B4115,辅助信息!E:K,7,FALSE)</f>
        <v>JWDDCD2025102100480</v>
      </c>
      <c r="E4115" s="40" t="str">
        <f>VLOOKUP(F4115,辅助信息!A:B,2,FALSE)</f>
        <v>螺纹钢</v>
      </c>
      <c r="F4115" s="40" t="s">
        <v>30</v>
      </c>
      <c r="G4115" s="36">
        <v>11</v>
      </c>
      <c r="H4115" s="134"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09" t="str">
        <f>VLOOKUP(B4115,辅助信息!E:J,6,FALSE)</f>
        <v>联系实际收货人（陶杰13980247952）五冶建设送货单,6份材质书,锈货不收，装货前联系收货人核实到场规格,没提前告知进场规格现场不给予接收</v>
      </c>
      <c r="O4115" s="62" t="str">
        <f ca="1" t="shared" si="210"/>
        <v/>
      </c>
      <c r="P4115" s="62"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5" t="s">
        <v>208</v>
      </c>
      <c r="C4116" s="70">
        <v>45937</v>
      </c>
      <c r="D4116" s="40" t="str">
        <f>VLOOKUP(B4116,辅助信息!E:K,7,FALSE)</f>
        <v>JWDDCD2025102100480</v>
      </c>
      <c r="E4116" s="40" t="str">
        <f>VLOOKUP(F4116,辅助信息!A:B,2,FALSE)</f>
        <v>螺纹钢</v>
      </c>
      <c r="F4116" s="40" t="s">
        <v>18</v>
      </c>
      <c r="G4116" s="36">
        <v>8.1</v>
      </c>
      <c r="H4116" s="134"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09" t="str">
        <f>VLOOKUP(B4116,辅助信息!E:J,6,FALSE)</f>
        <v>联系实际收货人（陶杰13980247952）五冶建设送货单,6份材质书,锈货不收，装货前联系收货人核实到场规格,没提前告知进场规格现场不给予接收</v>
      </c>
      <c r="O4116" s="62" t="str">
        <f ca="1" t="shared" si="210"/>
        <v/>
      </c>
      <c r="P4116" s="62"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5" t="s">
        <v>68</v>
      </c>
      <c r="C4117" s="70">
        <v>45937</v>
      </c>
      <c r="D4117" s="40" t="str">
        <f>VLOOKUP(B4117,辅助信息!E:K,7,FALSE)</f>
        <v>JWDDCD2025052800131</v>
      </c>
      <c r="E4117" s="40" t="str">
        <f>VLOOKUP(F4117,辅助信息!A:B,2,FALSE)</f>
        <v>螺纹钢</v>
      </c>
      <c r="F4117" s="40" t="s">
        <v>27</v>
      </c>
      <c r="G4117" s="36">
        <v>15</v>
      </c>
      <c r="H4117" s="134">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09" t="str">
        <f>VLOOKUP(B4117,辅助信息!E:J,6,FALSE)</f>
        <v>控制炉批号！多了现场不收！,优先安排达钢,提前联系到场规格及数量</v>
      </c>
      <c r="O4117" s="62" t="str">
        <f ca="1" t="shared" si="210"/>
        <v/>
      </c>
      <c r="P4117" s="62"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5" t="s">
        <v>68</v>
      </c>
      <c r="C4118" s="70">
        <v>45937</v>
      </c>
      <c r="D4118" s="40" t="str">
        <f>VLOOKUP(B4118,辅助信息!E:K,7,FALSE)</f>
        <v>JWDDCD2025052800131</v>
      </c>
      <c r="E4118" s="40" t="str">
        <f>VLOOKUP(F4118,辅助信息!A:B,2,FALSE)</f>
        <v>螺纹钢</v>
      </c>
      <c r="F4118" s="40" t="s">
        <v>32</v>
      </c>
      <c r="G4118" s="36">
        <v>40</v>
      </c>
      <c r="H4118" s="134">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09" t="str">
        <f>VLOOKUP(B4118,辅助信息!E:J,6,FALSE)</f>
        <v>控制炉批号！多了现场不收！,优先安排达钢,提前联系到场规格及数量</v>
      </c>
      <c r="O4118" s="62" t="str">
        <f ca="1" t="shared" si="210"/>
        <v/>
      </c>
      <c r="P4118" s="62"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5" t="s">
        <v>68</v>
      </c>
      <c r="C4119" s="70">
        <v>45937</v>
      </c>
      <c r="D4119" s="40" t="str">
        <f>VLOOKUP(B4119,辅助信息!E:K,7,FALSE)</f>
        <v>JWDDCD2025052800131</v>
      </c>
      <c r="E4119" s="40" t="str">
        <f>VLOOKUP(F4119,辅助信息!A:B,2,FALSE)</f>
        <v>螺纹钢</v>
      </c>
      <c r="F4119" s="40" t="s">
        <v>33</v>
      </c>
      <c r="G4119" s="36">
        <v>12</v>
      </c>
      <c r="H4119" s="134"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09" t="str">
        <f>VLOOKUP(B4119,辅助信息!E:J,6,FALSE)</f>
        <v>控制炉批号！多了现场不收！,优先安排达钢,提前联系到场规格及数量</v>
      </c>
      <c r="O4119" s="62" t="str">
        <f ca="1" t="shared" si="210"/>
        <v/>
      </c>
      <c r="P4119" s="62"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5" t="s">
        <v>68</v>
      </c>
      <c r="C4120" s="70">
        <v>45937</v>
      </c>
      <c r="D4120" s="40" t="str">
        <f>VLOOKUP(B4120,辅助信息!E:K,7,FALSE)</f>
        <v>JWDDCD2025052800131</v>
      </c>
      <c r="E4120" s="40" t="str">
        <f>VLOOKUP(F4120,辅助信息!A:B,2,FALSE)</f>
        <v>螺纹钢</v>
      </c>
      <c r="F4120" s="40" t="s">
        <v>65</v>
      </c>
      <c r="G4120" s="36">
        <v>90</v>
      </c>
      <c r="H4120" s="134">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09" t="str">
        <f>VLOOKUP(B4120,辅助信息!E:J,6,FALSE)</f>
        <v>控制炉批号！多了现场不收！,优先安排达钢,提前联系到场规格及数量</v>
      </c>
      <c r="O4120" s="62" t="str">
        <f ca="1" t="shared" si="210"/>
        <v/>
      </c>
      <c r="P4120" s="62"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5" t="s">
        <v>167</v>
      </c>
      <c r="C4121" s="70">
        <v>45937</v>
      </c>
      <c r="D4121" s="40" t="str">
        <f>VLOOKUP(B4121,辅助信息!E:K,7,FALSE)</f>
        <v>JWDDCD2025102100473</v>
      </c>
      <c r="E4121" s="40" t="str">
        <f>VLOOKUP(F4121,辅助信息!A:B,2,FALSE)</f>
        <v>盘螺</v>
      </c>
      <c r="F4121" s="40" t="s">
        <v>40</v>
      </c>
      <c r="G4121" s="36">
        <v>16</v>
      </c>
      <c r="H4121" s="134">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09"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2" t="str">
        <f ca="1" t="shared" si="210"/>
        <v/>
      </c>
      <c r="P4121" s="62"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5" t="s">
        <v>167</v>
      </c>
      <c r="C4122" s="70">
        <v>45937</v>
      </c>
      <c r="D4122" s="40" t="str">
        <f>VLOOKUP(B4122,辅助信息!E:K,7,FALSE)</f>
        <v>JWDDCD2025102100473</v>
      </c>
      <c r="E4122" s="40" t="str">
        <f>VLOOKUP(F4122,辅助信息!A:B,2,FALSE)</f>
        <v>盘螺</v>
      </c>
      <c r="F4122" s="40" t="s">
        <v>41</v>
      </c>
      <c r="G4122" s="36">
        <v>20</v>
      </c>
      <c r="H4122" s="134">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09"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2" t="str">
        <f ca="1" t="shared" si="210"/>
        <v/>
      </c>
      <c r="P4122" s="62"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5" t="s">
        <v>167</v>
      </c>
      <c r="C4123" s="70">
        <v>45937</v>
      </c>
      <c r="D4123" s="40" t="str">
        <f>VLOOKUP(B4123,辅助信息!E:K,7,FALSE)</f>
        <v>JWDDCD2025102100473</v>
      </c>
      <c r="E4123" s="40" t="str">
        <f>VLOOKUP(F4123,辅助信息!A:B,2,FALSE)</f>
        <v>螺纹钢</v>
      </c>
      <c r="F4123" s="40" t="s">
        <v>27</v>
      </c>
      <c r="G4123" s="36">
        <v>32</v>
      </c>
      <c r="H4123" s="134">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09"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2" t="str">
        <f ca="1" t="shared" si="210"/>
        <v/>
      </c>
      <c r="P4123" s="62"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5" t="s">
        <v>167</v>
      </c>
      <c r="C4124" s="70">
        <v>45937</v>
      </c>
      <c r="D4124" s="40" t="str">
        <f>VLOOKUP(B4124,辅助信息!E:K,7,FALSE)</f>
        <v>JWDDCD2025102100473</v>
      </c>
      <c r="E4124" s="40" t="str">
        <f>VLOOKUP(F4124,辅助信息!A:B,2,FALSE)</f>
        <v>螺纹钢</v>
      </c>
      <c r="F4124" s="40" t="s">
        <v>58</v>
      </c>
      <c r="G4124" s="36">
        <v>6</v>
      </c>
      <c r="H4124" s="134">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09"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2" t="str">
        <f ca="1" t="shared" si="210"/>
        <v/>
      </c>
      <c r="P4124" s="62"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5" t="s">
        <v>167</v>
      </c>
      <c r="C4125" s="70">
        <v>45937</v>
      </c>
      <c r="D4125" s="40" t="str">
        <f>VLOOKUP(B4125,辅助信息!E:K,7,FALSE)</f>
        <v>JWDDCD2025102100473</v>
      </c>
      <c r="E4125" s="40" t="str">
        <f>VLOOKUP(F4125,辅助信息!A:B,2,FALSE)</f>
        <v>螺纹钢</v>
      </c>
      <c r="F4125" s="40" t="s">
        <v>46</v>
      </c>
      <c r="G4125" s="36">
        <v>6</v>
      </c>
      <c r="H4125" s="134">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09"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2" t="str">
        <f ca="1" t="shared" si="210"/>
        <v/>
      </c>
      <c r="P4125" s="62"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5" t="s">
        <v>167</v>
      </c>
      <c r="C4126" s="70">
        <v>45937</v>
      </c>
      <c r="D4126" s="40" t="str">
        <f>VLOOKUP(B4126,辅助信息!E:K,7,FALSE)</f>
        <v>JWDDCD2025102100473</v>
      </c>
      <c r="E4126" s="40" t="str">
        <f>VLOOKUP(F4126,辅助信息!A:B,2,FALSE)</f>
        <v>螺纹钢</v>
      </c>
      <c r="F4126" s="40" t="s">
        <v>22</v>
      </c>
      <c r="G4126" s="36">
        <v>48</v>
      </c>
      <c r="H4126" s="134">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09"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2" t="str">
        <f ca="1" t="shared" si="210"/>
        <v/>
      </c>
      <c r="P4126" s="62"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5" t="s">
        <v>167</v>
      </c>
      <c r="C4127" s="70">
        <v>45937</v>
      </c>
      <c r="D4127" s="40" t="str">
        <f>VLOOKUP(B4127,辅助信息!E:K,7,FALSE)</f>
        <v>JWDDCD2025102100473</v>
      </c>
      <c r="E4127" s="40" t="str">
        <f>VLOOKUP(F4127,辅助信息!A:B,2,FALSE)</f>
        <v>螺纹钢</v>
      </c>
      <c r="F4127" s="40" t="s">
        <v>142</v>
      </c>
      <c r="G4127" s="36">
        <v>12</v>
      </c>
      <c r="H4127" s="134">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09"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2" t="str">
        <f ca="1" t="shared" si="210"/>
        <v/>
      </c>
      <c r="P4127" s="62"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5" t="s">
        <v>225</v>
      </c>
      <c r="C4128" s="70">
        <v>45937</v>
      </c>
      <c r="D4128" s="40" t="str">
        <f>VLOOKUP(B4128,辅助信息!E:K,7,FALSE)</f>
        <v>JWDDCD2025092400210</v>
      </c>
      <c r="E4128" s="40" t="str">
        <f>VLOOKUP(F4128,辅助信息!A:B,2,FALSE)</f>
        <v>盘螺</v>
      </c>
      <c r="F4128" s="40" t="s">
        <v>40</v>
      </c>
      <c r="G4128" s="36">
        <v>70</v>
      </c>
      <c r="H4128" s="134">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09">
        <f>VLOOKUP(B4128,辅助信息!E:J,6,FALSE)</f>
        <v>0</v>
      </c>
      <c r="O4128" s="62" t="str">
        <f ca="1" t="shared" ref="O4128:O4191" si="212">IF(OR(M4128="",N4128&lt;&gt;""),"",MAX(M4128-TODAY(),0))</f>
        <v/>
      </c>
      <c r="P4128" s="62"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5" t="s">
        <v>232</v>
      </c>
      <c r="C4129" s="70">
        <v>45937</v>
      </c>
      <c r="D4129" s="40" t="str">
        <f>VLOOKUP(B4129,辅助信息!E:K,7,FALSE)</f>
        <v>JWDDCD2025052800131</v>
      </c>
      <c r="E4129" s="40" t="str">
        <f>VLOOKUP(F4129,辅助信息!A:B,2,FALSE)</f>
        <v>盘螺</v>
      </c>
      <c r="F4129" s="40" t="s">
        <v>49</v>
      </c>
      <c r="G4129" s="36">
        <v>15</v>
      </c>
      <c r="H4129" s="134">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09" t="str">
        <f>VLOOKUP(B4129,辅助信息!E:J,6,FALSE)</f>
        <v>控制炉批号！多了现场不收！,优先安排达钢,提前联系到场规格及数量</v>
      </c>
      <c r="O4129" s="62" t="str">
        <f ca="1" t="shared" si="212"/>
        <v/>
      </c>
      <c r="P4129" s="62"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5" t="s">
        <v>232</v>
      </c>
      <c r="C4130" s="70">
        <v>45937</v>
      </c>
      <c r="D4130" s="40" t="str">
        <f>VLOOKUP(B4130,辅助信息!E:K,7,FALSE)</f>
        <v>JWDDCD2025052800131</v>
      </c>
      <c r="E4130" s="40" t="str">
        <f>VLOOKUP(F4130,辅助信息!A:B,2,FALSE)</f>
        <v>盘螺</v>
      </c>
      <c r="F4130" s="40" t="s">
        <v>40</v>
      </c>
      <c r="G4130" s="36">
        <v>15</v>
      </c>
      <c r="H4130" s="134">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09" t="str">
        <f>VLOOKUP(B4130,辅助信息!E:J,6,FALSE)</f>
        <v>控制炉批号！多了现场不收！,优先安排达钢,提前联系到场规格及数量</v>
      </c>
      <c r="O4130" s="62" t="str">
        <f ca="1" t="shared" si="212"/>
        <v/>
      </c>
      <c r="P4130" s="62"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5" t="s">
        <v>232</v>
      </c>
      <c r="C4131" s="70">
        <v>45937</v>
      </c>
      <c r="D4131" s="40" t="str">
        <f>VLOOKUP(B4131,辅助信息!E:K,7,FALSE)</f>
        <v>JWDDCD2025052800131</v>
      </c>
      <c r="E4131" s="40" t="str">
        <f>VLOOKUP(F4131,辅助信息!A:B,2,FALSE)</f>
        <v>盘螺</v>
      </c>
      <c r="F4131" s="40" t="s">
        <v>41</v>
      </c>
      <c r="G4131" s="36">
        <v>15</v>
      </c>
      <c r="H4131" s="134">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09" t="str">
        <f>VLOOKUP(B4131,辅助信息!E:J,6,FALSE)</f>
        <v>控制炉批号！多了现场不收！,优先安排达钢,提前联系到场规格及数量</v>
      </c>
      <c r="O4131" s="62" t="str">
        <f ca="1" t="shared" si="212"/>
        <v/>
      </c>
      <c r="P4131" s="62"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5" t="s">
        <v>232</v>
      </c>
      <c r="C4132" s="70">
        <v>45937</v>
      </c>
      <c r="D4132" s="40" t="str">
        <f>VLOOKUP(B4132,辅助信息!E:K,7,FALSE)</f>
        <v>JWDDCD2025052800131</v>
      </c>
      <c r="E4132" s="40" t="str">
        <f>VLOOKUP(F4132,辅助信息!A:B,2,FALSE)</f>
        <v>螺纹钢</v>
      </c>
      <c r="F4132" s="40" t="s">
        <v>27</v>
      </c>
      <c r="G4132" s="36">
        <v>36</v>
      </c>
      <c r="H4132" s="134">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09" t="str">
        <f>VLOOKUP(B4132,辅助信息!E:J,6,FALSE)</f>
        <v>控制炉批号！多了现场不收！,优先安排达钢,提前联系到场规格及数量</v>
      </c>
      <c r="O4132" s="62" t="str">
        <f ca="1" t="shared" si="212"/>
        <v/>
      </c>
      <c r="P4132" s="62"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5" t="s">
        <v>232</v>
      </c>
      <c r="C4133" s="70">
        <v>45937</v>
      </c>
      <c r="D4133" s="40" t="str">
        <f>VLOOKUP(B4133,辅助信息!E:K,7,FALSE)</f>
        <v>JWDDCD2025052800131</v>
      </c>
      <c r="E4133" s="40" t="str">
        <f>VLOOKUP(F4133,辅助信息!A:B,2,FALSE)</f>
        <v>螺纹钢</v>
      </c>
      <c r="F4133" s="40" t="s">
        <v>19</v>
      </c>
      <c r="G4133" s="36">
        <v>150</v>
      </c>
      <c r="H4133" s="134">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09" t="str">
        <f>VLOOKUP(B4133,辅助信息!E:J,6,FALSE)</f>
        <v>控制炉批号！多了现场不收！,优先安排达钢,提前联系到场规格及数量</v>
      </c>
      <c r="O4133" s="62" t="str">
        <f ca="1" t="shared" si="212"/>
        <v/>
      </c>
      <c r="P4133" s="62"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5" t="s">
        <v>232</v>
      </c>
      <c r="C4134" s="70">
        <v>45937</v>
      </c>
      <c r="D4134" s="40" t="str">
        <f>VLOOKUP(B4134,辅助信息!E:K,7,FALSE)</f>
        <v>JWDDCD2025052800131</v>
      </c>
      <c r="E4134" s="40" t="str">
        <f>VLOOKUP(F4134,辅助信息!A:B,2,FALSE)</f>
        <v>螺纹钢</v>
      </c>
      <c r="F4134" s="40" t="s">
        <v>32</v>
      </c>
      <c r="G4134" s="36">
        <v>10</v>
      </c>
      <c r="H4134" s="134">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09" t="str">
        <f>VLOOKUP(B4134,辅助信息!E:J,6,FALSE)</f>
        <v>控制炉批号！多了现场不收！,优先安排达钢,提前联系到场规格及数量</v>
      </c>
      <c r="O4134" s="62" t="str">
        <f ca="1" t="shared" si="212"/>
        <v/>
      </c>
      <c r="P4134" s="62"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5" t="s">
        <v>232</v>
      </c>
      <c r="C4135" s="70">
        <v>45937</v>
      </c>
      <c r="D4135" s="40" t="str">
        <f>VLOOKUP(B4135,辅助信息!E:K,7,FALSE)</f>
        <v>JWDDCD2025052800131</v>
      </c>
      <c r="E4135" s="40" t="str">
        <f>VLOOKUP(F4135,辅助信息!A:B,2,FALSE)</f>
        <v>螺纹钢</v>
      </c>
      <c r="F4135" s="40" t="s">
        <v>30</v>
      </c>
      <c r="G4135" s="36">
        <v>20</v>
      </c>
      <c r="H4135" s="134"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09" t="str">
        <f>VLOOKUP(B4135,辅助信息!E:J,6,FALSE)</f>
        <v>控制炉批号！多了现场不收！,优先安排达钢,提前联系到场规格及数量</v>
      </c>
      <c r="O4135" s="62" t="str">
        <f ca="1" t="shared" si="212"/>
        <v/>
      </c>
      <c r="P4135" s="62"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5" t="s">
        <v>232</v>
      </c>
      <c r="C4136" s="70">
        <v>45937</v>
      </c>
      <c r="D4136" s="40" t="str">
        <f>VLOOKUP(B4136,辅助信息!E:K,7,FALSE)</f>
        <v>JWDDCD2025052800131</v>
      </c>
      <c r="E4136" s="40" t="str">
        <f>VLOOKUP(F4136,辅助信息!A:B,2,FALSE)</f>
        <v>螺纹钢</v>
      </c>
      <c r="F4136" s="40" t="s">
        <v>33</v>
      </c>
      <c r="G4136" s="36">
        <v>21</v>
      </c>
      <c r="H4136" s="134"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09" t="str">
        <f>VLOOKUP(B4136,辅助信息!E:J,6,FALSE)</f>
        <v>控制炉批号！多了现场不收！,优先安排达钢,提前联系到场规格及数量</v>
      </c>
      <c r="O4136" s="62" t="str">
        <f ca="1" t="shared" si="212"/>
        <v/>
      </c>
      <c r="P4136" s="62"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5" t="s">
        <v>232</v>
      </c>
      <c r="C4137" s="70">
        <v>45937</v>
      </c>
      <c r="D4137" s="40" t="str">
        <f>VLOOKUP(B4137,辅助信息!E:K,7,FALSE)</f>
        <v>JWDDCD2025052800131</v>
      </c>
      <c r="E4137" s="40" t="str">
        <f>VLOOKUP(F4137,辅助信息!A:B,2,FALSE)</f>
        <v>螺纹钢</v>
      </c>
      <c r="F4137" s="40" t="s">
        <v>28</v>
      </c>
      <c r="G4137" s="36">
        <v>15</v>
      </c>
      <c r="H4137" s="134">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09" t="str">
        <f>VLOOKUP(B4137,辅助信息!E:J,6,FALSE)</f>
        <v>控制炉批号！多了现场不收！,优先安排达钢,提前联系到场规格及数量</v>
      </c>
      <c r="O4137" s="62" t="str">
        <f ca="1" t="shared" si="212"/>
        <v/>
      </c>
      <c r="P4137" s="62"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5" t="s">
        <v>232</v>
      </c>
      <c r="C4138" s="70">
        <v>45937</v>
      </c>
      <c r="D4138" s="40" t="str">
        <f>VLOOKUP(B4138,辅助信息!E:K,7,FALSE)</f>
        <v>JWDDCD2025052800131</v>
      </c>
      <c r="E4138" s="40" t="str">
        <f>VLOOKUP(F4138,辅助信息!A:B,2,FALSE)</f>
        <v>螺纹钢</v>
      </c>
      <c r="F4138" s="40" t="s">
        <v>18</v>
      </c>
      <c r="G4138" s="36">
        <v>10</v>
      </c>
      <c r="H4138" s="134"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09" t="str">
        <f>VLOOKUP(B4138,辅助信息!E:J,6,FALSE)</f>
        <v>控制炉批号！多了现场不收！,优先安排达钢,提前联系到场规格及数量</v>
      </c>
      <c r="O4138" s="62" t="str">
        <f ca="1" t="shared" si="212"/>
        <v/>
      </c>
      <c r="P4138" s="62"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5" t="s">
        <v>163</v>
      </c>
      <c r="C4139" s="70">
        <v>45938</v>
      </c>
      <c r="D4139" s="40" t="str">
        <f>VLOOKUP(B4139,辅助信息!E:K,7,FALSE)</f>
        <v>JWDDCD2025052800131</v>
      </c>
      <c r="E4139" s="40" t="str">
        <f>VLOOKUP(F4139,辅助信息!A:B,2,FALSE)</f>
        <v>盘螺</v>
      </c>
      <c r="F4139" s="40" t="s">
        <v>41</v>
      </c>
      <c r="G4139" s="36">
        <v>25</v>
      </c>
      <c r="H4139" s="134">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09" t="str">
        <f>VLOOKUP(B4139,辅助信息!E:J,6,FALSE)</f>
        <v>控制炉批号！多了现场不收！,优先安排达钢,提前联系到场规格及数量</v>
      </c>
      <c r="O4139" s="62" t="str">
        <f ca="1" t="shared" si="212"/>
        <v/>
      </c>
      <c r="P4139" s="62"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5" t="s">
        <v>163</v>
      </c>
      <c r="C4140" s="70">
        <v>45938</v>
      </c>
      <c r="D4140" s="40" t="str">
        <f>VLOOKUP(B4140,辅助信息!E:K,7,FALSE)</f>
        <v>JWDDCD2025052800131</v>
      </c>
      <c r="E4140" s="40" t="str">
        <f>VLOOKUP(F4140,辅助信息!A:B,2,FALSE)</f>
        <v>盘螺</v>
      </c>
      <c r="F4140" s="40" t="s">
        <v>40</v>
      </c>
      <c r="G4140" s="36">
        <v>10</v>
      </c>
      <c r="H4140" s="134">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09" t="str">
        <f>VLOOKUP(B4140,辅助信息!E:J,6,FALSE)</f>
        <v>控制炉批号！多了现场不收！,优先安排达钢,提前联系到场规格及数量</v>
      </c>
      <c r="O4140" s="62" t="str">
        <f ca="1" t="shared" si="212"/>
        <v/>
      </c>
      <c r="P4140" s="62"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5" t="s">
        <v>179</v>
      </c>
      <c r="C4141" s="70">
        <v>45938</v>
      </c>
      <c r="D4141" s="40" t="str">
        <f>VLOOKUP(B4141,辅助信息!E:K,7,FALSE)</f>
        <v>JWDDCD2025052800131</v>
      </c>
      <c r="E4141" s="40" t="str">
        <f>VLOOKUP(F4141,辅助信息!A:B,2,FALSE)</f>
        <v>盘螺</v>
      </c>
      <c r="F4141" s="40" t="s">
        <v>49</v>
      </c>
      <c r="G4141" s="36">
        <v>6</v>
      </c>
      <c r="H4141" s="134"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09" t="str">
        <f>VLOOKUP(B4141,辅助信息!E:J,6,FALSE)</f>
        <v>控制炉批号！多了现场不收！,优先安排达钢,提前联系到场规格及数量</v>
      </c>
      <c r="O4141" s="62" t="str">
        <f ca="1" t="shared" si="212"/>
        <v/>
      </c>
      <c r="P4141" s="62"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5" t="s">
        <v>179</v>
      </c>
      <c r="C4142" s="70">
        <v>45938</v>
      </c>
      <c r="D4142" s="40" t="str">
        <f>VLOOKUP(B4142,辅助信息!E:K,7,FALSE)</f>
        <v>JWDDCD2025052800131</v>
      </c>
      <c r="E4142" s="40" t="str">
        <f>VLOOKUP(F4142,辅助信息!A:B,2,FALSE)</f>
        <v>盘螺</v>
      </c>
      <c r="F4142" s="40" t="s">
        <v>40</v>
      </c>
      <c r="G4142" s="36">
        <v>21</v>
      </c>
      <c r="H4142" s="134">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09" t="str">
        <f>VLOOKUP(B4142,辅助信息!E:J,6,FALSE)</f>
        <v>控制炉批号！多了现场不收！,优先安排达钢,提前联系到场规格及数量</v>
      </c>
      <c r="O4142" s="62" t="str">
        <f ca="1" t="shared" si="212"/>
        <v/>
      </c>
      <c r="P4142" s="62"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5" t="s">
        <v>179</v>
      </c>
      <c r="C4143" s="70">
        <v>45938</v>
      </c>
      <c r="D4143" s="40" t="str">
        <f>VLOOKUP(B4143,辅助信息!E:K,7,FALSE)</f>
        <v>JWDDCD2025052800131</v>
      </c>
      <c r="E4143" s="40" t="str">
        <f>VLOOKUP(F4143,辅助信息!A:B,2,FALSE)</f>
        <v>盘螺</v>
      </c>
      <c r="F4143" s="40" t="s">
        <v>41</v>
      </c>
      <c r="G4143" s="36">
        <v>9</v>
      </c>
      <c r="H4143" s="134">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09" t="str">
        <f>VLOOKUP(B4143,辅助信息!E:J,6,FALSE)</f>
        <v>控制炉批号！多了现场不收！,优先安排达钢,提前联系到场规格及数量</v>
      </c>
      <c r="O4143" s="62" t="str">
        <f ca="1" t="shared" si="212"/>
        <v/>
      </c>
      <c r="P4143" s="62"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5" t="s">
        <v>179</v>
      </c>
      <c r="C4144" s="70">
        <v>45938</v>
      </c>
      <c r="D4144" s="40" t="str">
        <f>VLOOKUP(B4144,辅助信息!E:K,7,FALSE)</f>
        <v>JWDDCD2025052800131</v>
      </c>
      <c r="E4144" s="40" t="str">
        <f>VLOOKUP(F4144,辅助信息!A:B,2,FALSE)</f>
        <v>螺纹钢</v>
      </c>
      <c r="F4144" s="40" t="s">
        <v>66</v>
      </c>
      <c r="G4144" s="36">
        <v>6</v>
      </c>
      <c r="H4144" s="134">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09" t="str">
        <f>VLOOKUP(B4144,辅助信息!E:J,6,FALSE)</f>
        <v>控制炉批号！多了现场不收！,优先安排达钢,提前联系到场规格及数量</v>
      </c>
      <c r="O4144" s="62" t="str">
        <f ca="1" t="shared" si="212"/>
        <v/>
      </c>
      <c r="P4144" s="62"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5" t="s">
        <v>179</v>
      </c>
      <c r="C4145" s="70">
        <v>45938</v>
      </c>
      <c r="D4145" s="40" t="str">
        <f>VLOOKUP(B4145,辅助信息!E:K,7,FALSE)</f>
        <v>JWDDCD2025052800131</v>
      </c>
      <c r="E4145" s="40" t="str">
        <f>VLOOKUP(F4145,辅助信息!A:B,2,FALSE)</f>
        <v>螺纹钢</v>
      </c>
      <c r="F4145" s="40" t="s">
        <v>21</v>
      </c>
      <c r="G4145" s="36">
        <v>6</v>
      </c>
      <c r="H4145" s="134"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09" t="str">
        <f>VLOOKUP(B4145,辅助信息!E:J,6,FALSE)</f>
        <v>控制炉批号！多了现场不收！,优先安排达钢,提前联系到场规格及数量</v>
      </c>
      <c r="O4145" s="62" t="str">
        <f ca="1" t="shared" si="212"/>
        <v/>
      </c>
      <c r="P4145" s="62"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5" t="s">
        <v>179</v>
      </c>
      <c r="C4146" s="70">
        <v>45938</v>
      </c>
      <c r="D4146" s="40" t="str">
        <f>VLOOKUP(B4146,辅助信息!E:K,7,FALSE)</f>
        <v>JWDDCD2025052800131</v>
      </c>
      <c r="E4146" s="40" t="str">
        <f>VLOOKUP(F4146,辅助信息!A:B,2,FALSE)</f>
        <v>螺纹钢</v>
      </c>
      <c r="F4146" s="40" t="s">
        <v>58</v>
      </c>
      <c r="G4146" s="36">
        <v>15</v>
      </c>
      <c r="H4146" s="134">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09" t="str">
        <f>VLOOKUP(B4146,辅助信息!E:J,6,FALSE)</f>
        <v>控制炉批号！多了现场不收！,优先安排达钢,提前联系到场规格及数量</v>
      </c>
      <c r="O4146" s="62" t="str">
        <f ca="1" t="shared" si="212"/>
        <v/>
      </c>
      <c r="P4146" s="62"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5" t="s">
        <v>179</v>
      </c>
      <c r="C4147" s="70">
        <v>45938</v>
      </c>
      <c r="D4147" s="40" t="str">
        <f>VLOOKUP(B4147,辅助信息!E:K,7,FALSE)</f>
        <v>JWDDCD2025052800131</v>
      </c>
      <c r="E4147" s="40" t="str">
        <f>VLOOKUP(F4147,辅助信息!A:B,2,FALSE)</f>
        <v>螺纹钢</v>
      </c>
      <c r="F4147" s="40" t="s">
        <v>22</v>
      </c>
      <c r="G4147" s="36">
        <v>10</v>
      </c>
      <c r="H4147" s="134">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09" t="str">
        <f>VLOOKUP(B4147,辅助信息!E:J,6,FALSE)</f>
        <v>控制炉批号！多了现场不收！,优先安排达钢,提前联系到场规格及数量</v>
      </c>
      <c r="O4147" s="62" t="str">
        <f ca="1" t="shared" si="212"/>
        <v/>
      </c>
      <c r="P4147" s="62"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5" t="s">
        <v>232</v>
      </c>
      <c r="C4148" s="70">
        <v>45938</v>
      </c>
      <c r="D4148" s="40" t="str">
        <f>VLOOKUP(B4148,辅助信息!E:K,7,FALSE)</f>
        <v>JWDDCD2025052800131</v>
      </c>
      <c r="E4148" s="40" t="str">
        <f>VLOOKUP(F4148,辅助信息!A:B,2,FALSE)</f>
        <v>螺纹钢</v>
      </c>
      <c r="F4148" s="40" t="s">
        <v>30</v>
      </c>
      <c r="G4148" s="36">
        <v>20</v>
      </c>
      <c r="H4148" s="134">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09" t="str">
        <f>VLOOKUP(B4148,辅助信息!E:J,6,FALSE)</f>
        <v>控制炉批号！多了现场不收！,优先安排达钢,提前联系到场规格及数量</v>
      </c>
      <c r="O4148" s="62" t="str">
        <f ca="1" t="shared" si="212"/>
        <v/>
      </c>
      <c r="P4148" s="62"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5" t="s">
        <v>232</v>
      </c>
      <c r="C4149" s="70">
        <v>45938</v>
      </c>
      <c r="D4149" s="40" t="str">
        <f>VLOOKUP(B4149,辅助信息!E:K,7,FALSE)</f>
        <v>JWDDCD2025052800131</v>
      </c>
      <c r="E4149" s="40" t="str">
        <f>VLOOKUP(F4149,辅助信息!A:B,2,FALSE)</f>
        <v>螺纹钢</v>
      </c>
      <c r="F4149" s="40" t="s">
        <v>33</v>
      </c>
      <c r="G4149" s="36">
        <v>21</v>
      </c>
      <c r="H4149" s="134">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09" t="str">
        <f>VLOOKUP(B4149,辅助信息!E:J,6,FALSE)</f>
        <v>控制炉批号！多了现场不收！,优先安排达钢,提前联系到场规格及数量</v>
      </c>
      <c r="O4149" s="62" t="str">
        <f ca="1" t="shared" si="212"/>
        <v/>
      </c>
      <c r="P4149" s="62"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5" t="s">
        <v>232</v>
      </c>
      <c r="C4150" s="70">
        <v>45938</v>
      </c>
      <c r="D4150" s="40" t="str">
        <f>VLOOKUP(B4150,辅助信息!E:K,7,FALSE)</f>
        <v>JWDDCD2025052800131</v>
      </c>
      <c r="E4150" s="40" t="str">
        <f>VLOOKUP(F4150,辅助信息!A:B,2,FALSE)</f>
        <v>螺纹钢</v>
      </c>
      <c r="F4150" s="40" t="s">
        <v>18</v>
      </c>
      <c r="G4150" s="36">
        <v>10</v>
      </c>
      <c r="H4150" s="134">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09" t="str">
        <f>VLOOKUP(B4150,辅助信息!E:J,6,FALSE)</f>
        <v>控制炉批号！多了现场不收！,优先安排达钢,提前联系到场规格及数量</v>
      </c>
      <c r="O4150" s="62" t="str">
        <f ca="1" t="shared" si="212"/>
        <v/>
      </c>
      <c r="P4150" s="62"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5" t="s">
        <v>215</v>
      </c>
      <c r="C4151" s="70">
        <v>45938</v>
      </c>
      <c r="D4151" s="40" t="str">
        <f>VLOOKUP(B4151,辅助信息!E:K,7,FALSE)</f>
        <v>JWDDCD2025102100486</v>
      </c>
      <c r="E4151" s="40" t="str">
        <f>VLOOKUP(F4151,辅助信息!A:B,2,FALSE)</f>
        <v>螺纹钢</v>
      </c>
      <c r="F4151" s="40" t="s">
        <v>27</v>
      </c>
      <c r="G4151" s="36">
        <v>6</v>
      </c>
      <c r="H4151" s="134">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09" t="str">
        <f>VLOOKUP(B4151,辅助信息!E:J,6,FALSE)</f>
        <v>联系实际收货人（孙敏13617695006）五冶建设送货单,6份材质书,锈货不收，装货前联系收货人核实到场规格,没提前告知进场规格现场不给予接收</v>
      </c>
      <c r="O4151" s="62" t="str">
        <f ca="1" t="shared" si="212"/>
        <v/>
      </c>
      <c r="P4151" s="62"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5" t="s">
        <v>215</v>
      </c>
      <c r="C4152" s="70">
        <v>45938</v>
      </c>
      <c r="D4152" s="40" t="str">
        <f>VLOOKUP(B4152,辅助信息!E:K,7,FALSE)</f>
        <v>JWDDCD2025102100486</v>
      </c>
      <c r="E4152" s="40" t="str">
        <f>VLOOKUP(F4152,辅助信息!A:B,2,FALSE)</f>
        <v>螺纹钢</v>
      </c>
      <c r="F4152" s="40" t="s">
        <v>32</v>
      </c>
      <c r="G4152" s="36">
        <v>34</v>
      </c>
      <c r="H4152" s="134">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09" t="str">
        <f>VLOOKUP(B4152,辅助信息!E:J,6,FALSE)</f>
        <v>联系实际收货人（孙敏13617695006）五冶建设送货单,6份材质书,锈货不收，装货前联系收货人核实到场规格,没提前告知进场规格现场不给予接收</v>
      </c>
      <c r="O4152" s="62" t="str">
        <f ca="1" t="shared" si="212"/>
        <v/>
      </c>
      <c r="P4152" s="62"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5" t="s">
        <v>215</v>
      </c>
      <c r="C4153" s="70">
        <v>45938</v>
      </c>
      <c r="D4153" s="40" t="str">
        <f>VLOOKUP(B4153,辅助信息!E:K,7,FALSE)</f>
        <v>JWDDCD2025102100486</v>
      </c>
      <c r="E4153" s="40" t="str">
        <f>VLOOKUP(F4153,辅助信息!A:B,2,FALSE)</f>
        <v>螺纹钢</v>
      </c>
      <c r="F4153" s="40" t="s">
        <v>33</v>
      </c>
      <c r="G4153" s="36">
        <v>6</v>
      </c>
      <c r="H4153" s="134">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09" t="str">
        <f>VLOOKUP(B4153,辅助信息!E:J,6,FALSE)</f>
        <v>联系实际收货人（孙敏13617695006）五冶建设送货单,6份材质书,锈货不收，装货前联系收货人核实到场规格,没提前告知进场规格现场不给予接收</v>
      </c>
      <c r="O4153" s="62" t="str">
        <f ca="1" t="shared" si="212"/>
        <v/>
      </c>
      <c r="P4153" s="62"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5" t="s">
        <v>215</v>
      </c>
      <c r="C4154" s="70">
        <v>45938</v>
      </c>
      <c r="D4154" s="40" t="str">
        <f>VLOOKUP(B4154,辅助信息!E:K,7,FALSE)</f>
        <v>JWDDCD2025102100486</v>
      </c>
      <c r="E4154" s="40" t="str">
        <f>VLOOKUP(F4154,辅助信息!A:B,2,FALSE)</f>
        <v>螺纹钢</v>
      </c>
      <c r="F4154" s="40" t="s">
        <v>28</v>
      </c>
      <c r="G4154" s="36">
        <v>6</v>
      </c>
      <c r="H4154" s="134">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09" t="str">
        <f>VLOOKUP(B4154,辅助信息!E:J,6,FALSE)</f>
        <v>联系实际收货人（孙敏13617695006）五冶建设送货单,6份材质书,锈货不收，装货前联系收货人核实到场规格,没提前告知进场规格现场不给予接收</v>
      </c>
      <c r="O4154" s="62" t="str">
        <f ca="1" t="shared" si="212"/>
        <v/>
      </c>
      <c r="P4154" s="62"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5" t="s">
        <v>215</v>
      </c>
      <c r="C4155" s="70">
        <v>45938</v>
      </c>
      <c r="D4155" s="40" t="str">
        <f>VLOOKUP(B4155,辅助信息!E:K,7,FALSE)</f>
        <v>JWDDCD2025102100486</v>
      </c>
      <c r="E4155" s="40" t="str">
        <f>VLOOKUP(F4155,辅助信息!A:B,2,FALSE)</f>
        <v>螺纹钢</v>
      </c>
      <c r="F4155" s="40" t="s">
        <v>18</v>
      </c>
      <c r="G4155" s="36">
        <v>18</v>
      </c>
      <c r="H4155" s="134">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09" t="str">
        <f>VLOOKUP(B4155,辅助信息!E:J,6,FALSE)</f>
        <v>联系实际收货人（孙敏13617695006）五冶建设送货单,6份材质书,锈货不收，装货前联系收货人核实到场规格,没提前告知进场规格现场不给予接收</v>
      </c>
      <c r="O4155" s="62" t="str">
        <f ca="1" t="shared" si="212"/>
        <v/>
      </c>
      <c r="P4155" s="62"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19"/>
      <c r="B4156" s="135" t="s">
        <v>231</v>
      </c>
      <c r="C4156" s="70">
        <v>45939</v>
      </c>
      <c r="D4156" s="40" t="str">
        <f>VLOOKUP(B4156,辅助信息!E:K,7,FALSE)</f>
        <v>JWDDCD2025102100481</v>
      </c>
      <c r="E4156" s="40" t="str">
        <f>VLOOKUP(F4156,辅助信息!A:B,2,FALSE)</f>
        <v>螺纹钢</v>
      </c>
      <c r="F4156" s="40" t="s">
        <v>32</v>
      </c>
      <c r="G4156" s="36">
        <v>3</v>
      </c>
      <c r="H4156" s="134"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09" t="str">
        <f>VLOOKUP(B4156,辅助信息!E:J,6,FALSE)</f>
        <v>联系实际收货人（易前刚18228465067）五冶建设送货单,6份材质书,锈货不收，装货前联系收货人核实到场规格,没提前告知进场规格现场不给予接收</v>
      </c>
      <c r="O4156" s="62" t="str">
        <f ca="1" t="shared" si="212"/>
        <v/>
      </c>
      <c r="P4156" s="62"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19"/>
      <c r="B4157" s="135" t="s">
        <v>231</v>
      </c>
      <c r="C4157" s="70">
        <v>45939</v>
      </c>
      <c r="D4157" s="40" t="str">
        <f>VLOOKUP(B4157,辅助信息!E:K,7,FALSE)</f>
        <v>JWDDCD2025102100481</v>
      </c>
      <c r="E4157" s="40" t="str">
        <f>VLOOKUP(F4157,辅助信息!A:B,2,FALSE)</f>
        <v>螺纹钢</v>
      </c>
      <c r="F4157" s="40" t="s">
        <v>28</v>
      </c>
      <c r="G4157" s="36">
        <v>22</v>
      </c>
      <c r="H4157" s="134"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09" t="str">
        <f>VLOOKUP(B4157,辅助信息!E:J,6,FALSE)</f>
        <v>联系实际收货人（易前刚18228465067）五冶建设送货单,6份材质书,锈货不收，装货前联系收货人核实到场规格,没提前告知进场规格现场不给予接收</v>
      </c>
      <c r="O4157" s="62" t="str">
        <f ca="1" t="shared" si="212"/>
        <v/>
      </c>
      <c r="P4157" s="62"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19"/>
      <c r="B4158" s="135" t="s">
        <v>231</v>
      </c>
      <c r="C4158" s="70">
        <v>45939</v>
      </c>
      <c r="D4158" s="40" t="str">
        <f>VLOOKUP(B4158,辅助信息!E:K,7,FALSE)</f>
        <v>JWDDCD2025102100481</v>
      </c>
      <c r="E4158" s="40" t="str">
        <f>VLOOKUP(F4158,辅助信息!A:B,2,FALSE)</f>
        <v>螺纹钢</v>
      </c>
      <c r="F4158" s="40" t="s">
        <v>65</v>
      </c>
      <c r="G4158" s="36">
        <v>10</v>
      </c>
      <c r="H4158" s="134"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09" t="str">
        <f>VLOOKUP(B4158,辅助信息!E:J,6,FALSE)</f>
        <v>联系实际收货人（易前刚18228465067）五冶建设送货单,6份材质书,锈货不收，装货前联系收货人核实到场规格,没提前告知进场规格现场不给予接收</v>
      </c>
      <c r="O4158" s="62" t="str">
        <f ca="1" t="shared" si="212"/>
        <v/>
      </c>
      <c r="P4158" s="62"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19"/>
      <c r="B4159" s="135" t="s">
        <v>208</v>
      </c>
      <c r="C4159" s="70">
        <v>45938</v>
      </c>
      <c r="D4159" s="40" t="str">
        <f>VLOOKUP(B4159,辅助信息!E:K,7,FALSE)</f>
        <v>JWDDCD2025102100480</v>
      </c>
      <c r="E4159" s="40" t="str">
        <f>VLOOKUP(F4159,辅助信息!A:B,2,FALSE)</f>
        <v>高线</v>
      </c>
      <c r="F4159" s="40" t="s">
        <v>53</v>
      </c>
      <c r="G4159" s="36">
        <v>18</v>
      </c>
      <c r="H4159" s="134">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09" t="str">
        <f>VLOOKUP(B4159,辅助信息!E:J,6,FALSE)</f>
        <v>联系实际收货人（陶杰13980247952）五冶建设送货单,6份材质书,锈货不收，装货前联系收货人核实到场规格,没提前告知进场规格现场不给予接收</v>
      </c>
      <c r="O4159" s="62" t="str">
        <f ca="1" t="shared" si="212"/>
        <v/>
      </c>
      <c r="P4159" s="62"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19"/>
      <c r="B4160" s="135" t="s">
        <v>208</v>
      </c>
      <c r="C4160" s="70">
        <v>45938</v>
      </c>
      <c r="D4160" s="40" t="str">
        <f>VLOOKUP(B4160,辅助信息!E:K,7,FALSE)</f>
        <v>JWDDCD2025102100480</v>
      </c>
      <c r="E4160" s="40" t="str">
        <f>VLOOKUP(F4160,辅助信息!A:B,2,FALSE)</f>
        <v>螺纹钢</v>
      </c>
      <c r="F4160" s="40" t="s">
        <v>32</v>
      </c>
      <c r="G4160" s="36">
        <v>17</v>
      </c>
      <c r="H4160" s="134">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09" t="str">
        <f>VLOOKUP(B4160,辅助信息!E:J,6,FALSE)</f>
        <v>联系实际收货人（陶杰13980247952）五冶建设送货单,6份材质书,锈货不收，装货前联系收货人核实到场规格,没提前告知进场规格现场不给予接收</v>
      </c>
      <c r="O4160" s="62" t="str">
        <f ca="1" t="shared" si="212"/>
        <v/>
      </c>
      <c r="P4160" s="62"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19"/>
      <c r="B4161" s="135" t="s">
        <v>208</v>
      </c>
      <c r="C4161" s="70">
        <v>45938</v>
      </c>
      <c r="D4161" s="40" t="str">
        <f>VLOOKUP(B4161,辅助信息!E:K,7,FALSE)</f>
        <v>JWDDCD2025102100480</v>
      </c>
      <c r="E4161" s="40" t="str">
        <f>VLOOKUP(F4161,辅助信息!A:B,2,FALSE)</f>
        <v>螺纹钢</v>
      </c>
      <c r="F4161" s="40" t="s">
        <v>30</v>
      </c>
      <c r="G4161" s="36">
        <v>35</v>
      </c>
      <c r="H4161" s="134">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09" t="str">
        <f>VLOOKUP(B4161,辅助信息!E:J,6,FALSE)</f>
        <v>联系实际收货人（陶杰13980247952）五冶建设送货单,6份材质书,锈货不收，装货前联系收货人核实到场规格,没提前告知进场规格现场不给予接收</v>
      </c>
      <c r="O4161" s="62" t="str">
        <f ca="1" t="shared" si="212"/>
        <v/>
      </c>
      <c r="P4161" s="62"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1" t="s">
        <v>233</v>
      </c>
      <c r="B4162" s="155" t="s">
        <v>196</v>
      </c>
      <c r="C4162" s="70">
        <v>45939</v>
      </c>
      <c r="D4162" s="40" t="str">
        <f>VLOOKUP(B4162,辅助信息!E:K,7,FALSE)</f>
        <v>JWDDCD2025102100476</v>
      </c>
      <c r="E4162" s="40" t="str">
        <f>VLOOKUP(F4162,辅助信息!A:B,2,FALSE)</f>
        <v>螺纹钢</v>
      </c>
      <c r="F4162" s="40" t="s">
        <v>27</v>
      </c>
      <c r="G4162" s="36">
        <v>30</v>
      </c>
      <c r="H4162" s="134"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09"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1">
        <v>45940</v>
      </c>
      <c r="O4162" s="62">
        <f ca="1" t="shared" si="212"/>
        <v>0</v>
      </c>
      <c r="P4162" s="62">
        <f ca="1" t="shared" si="213"/>
        <v>20</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1"/>
      <c r="B4163" s="155" t="s">
        <v>196</v>
      </c>
      <c r="C4163" s="70">
        <v>45939</v>
      </c>
      <c r="D4163" s="40" t="str">
        <f>VLOOKUP(B4163,辅助信息!E:K,7,FALSE)</f>
        <v>JWDDCD2025102100476</v>
      </c>
      <c r="E4163" s="40" t="str">
        <f>VLOOKUP(F4163,辅助信息!A:B,2,FALSE)</f>
        <v>螺纹钢</v>
      </c>
      <c r="F4163" s="40" t="s">
        <v>66</v>
      </c>
      <c r="G4163" s="36">
        <v>5</v>
      </c>
      <c r="H4163" s="134"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09"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1">
        <v>45940</v>
      </c>
      <c r="O4163" s="62">
        <f ca="1" t="shared" si="212"/>
        <v>0</v>
      </c>
      <c r="P4163" s="62">
        <f ca="1" t="shared" si="213"/>
        <v>20</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1"/>
      <c r="B4164" s="155" t="s">
        <v>196</v>
      </c>
      <c r="C4164" s="70">
        <v>45939</v>
      </c>
      <c r="D4164" s="40" t="str">
        <f>VLOOKUP(B4164,辅助信息!E:K,7,FALSE)</f>
        <v>JWDDCD2025102100476</v>
      </c>
      <c r="E4164" s="40" t="str">
        <f>VLOOKUP(F4164,辅助信息!A:B,2,FALSE)</f>
        <v>螺纹钢</v>
      </c>
      <c r="F4164" s="40" t="s">
        <v>21</v>
      </c>
      <c r="G4164" s="36">
        <v>5</v>
      </c>
      <c r="H4164" s="134"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09"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1">
        <v>45940</v>
      </c>
      <c r="O4164" s="62">
        <f ca="1" t="shared" si="212"/>
        <v>0</v>
      </c>
      <c r="P4164" s="62">
        <f ca="1" t="shared" si="213"/>
        <v>20</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1"/>
      <c r="B4165" s="155" t="s">
        <v>196</v>
      </c>
      <c r="C4165" s="70">
        <v>45939</v>
      </c>
      <c r="D4165" s="40" t="str">
        <f>VLOOKUP(B4165,辅助信息!E:K,7,FALSE)</f>
        <v>JWDDCD2025102100476</v>
      </c>
      <c r="E4165" s="40" t="str">
        <f>VLOOKUP(F4165,辅助信息!A:B,2,FALSE)</f>
        <v>螺纹钢</v>
      </c>
      <c r="F4165" s="40" t="s">
        <v>46</v>
      </c>
      <c r="G4165" s="36">
        <v>5</v>
      </c>
      <c r="H4165" s="134"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09"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1">
        <v>45940</v>
      </c>
      <c r="O4165" s="62">
        <f ca="1" t="shared" si="212"/>
        <v>0</v>
      </c>
      <c r="P4165" s="62">
        <f ca="1" t="shared" si="213"/>
        <v>20</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1"/>
      <c r="B4166" s="155" t="s">
        <v>196</v>
      </c>
      <c r="C4166" s="70">
        <v>45939</v>
      </c>
      <c r="D4166" s="40" t="str">
        <f>VLOOKUP(B4166,辅助信息!E:K,7,FALSE)</f>
        <v>JWDDCD2025102100476</v>
      </c>
      <c r="E4166" s="40" t="str">
        <f>VLOOKUP(F4166,辅助信息!A:B,2,FALSE)</f>
        <v>螺纹钢</v>
      </c>
      <c r="F4166" s="40" t="s">
        <v>22</v>
      </c>
      <c r="G4166" s="36">
        <v>40</v>
      </c>
      <c r="H4166" s="134"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09"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1">
        <v>45940</v>
      </c>
      <c r="O4166" s="62">
        <f ca="1" t="shared" si="212"/>
        <v>0</v>
      </c>
      <c r="P4166" s="62">
        <f ca="1" t="shared" si="213"/>
        <v>20</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1"/>
      <c r="B4167" s="155" t="s">
        <v>196</v>
      </c>
      <c r="C4167" s="70">
        <v>45939</v>
      </c>
      <c r="D4167" s="40" t="str">
        <f>VLOOKUP(B4167,辅助信息!E:K,7,FALSE)</f>
        <v>JWDDCD2025102100476</v>
      </c>
      <c r="E4167" s="40" t="str">
        <f>VLOOKUP(F4167,辅助信息!A:B,2,FALSE)</f>
        <v>螺纹钢</v>
      </c>
      <c r="F4167" s="40" t="s">
        <v>181</v>
      </c>
      <c r="G4167" s="36">
        <v>7.5</v>
      </c>
      <c r="H4167" s="134"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09"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1">
        <v>45940</v>
      </c>
      <c r="O4167" s="62">
        <f ca="1" t="shared" si="212"/>
        <v>0</v>
      </c>
      <c r="P4167" s="62">
        <f ca="1" t="shared" si="213"/>
        <v>20</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1"/>
      <c r="B4168" s="155" t="s">
        <v>196</v>
      </c>
      <c r="C4168" s="70">
        <v>45939</v>
      </c>
      <c r="D4168" s="40" t="str">
        <f>VLOOKUP(B4168,辅助信息!E:K,7,FALSE)</f>
        <v>JWDDCD2025102100476</v>
      </c>
      <c r="E4168" s="40" t="str">
        <f>VLOOKUP(F4168,辅助信息!A:B,2,FALSE)</f>
        <v>螺纹钢</v>
      </c>
      <c r="F4168" s="40" t="s">
        <v>182</v>
      </c>
      <c r="G4168" s="36">
        <v>12.5</v>
      </c>
      <c r="H4168" s="134"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09"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1">
        <v>45940</v>
      </c>
      <c r="O4168" s="62">
        <f ca="1" t="shared" si="212"/>
        <v>0</v>
      </c>
      <c r="P4168" s="62">
        <f ca="1" t="shared" si="213"/>
        <v>20</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5" t="s">
        <v>186</v>
      </c>
      <c r="C4169" s="70">
        <v>45939</v>
      </c>
      <c r="D4169" s="40" t="str">
        <f>VLOOKUP(B4169,辅助信息!E:K,7,FALSE)</f>
        <v>JWDDCD2025072900123</v>
      </c>
      <c r="E4169" s="40" t="str">
        <f>VLOOKUP(F4169,辅助信息!A:B,2,FALSE)</f>
        <v>螺纹钢</v>
      </c>
      <c r="F4169" s="40" t="s">
        <v>111</v>
      </c>
      <c r="G4169" s="36">
        <v>35</v>
      </c>
      <c r="H4169" s="134">
        <f>IF(SUMIFS('[1]2025年已发货'!$E:$E,'[1]2025年已发货'!$F:$F,C4169,'[1]2025年已发货'!$C:$C,F4169,'[1]2025年已发货'!$G:$G,I4169,'[1]2025年已发货'!$H:$H,J4169)=0,"未发货",SUMIFS('[1]2025年已发货'!$E:$E,'[1]2025年已发货'!$F:$F,C4169,'[1]2025年已发货'!$C:$C,F4169,'[1]2025年已发货'!$G:$G,I4169,'[1]2025年已发货'!$H:$H,J4169))</f>
        <v>35</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09" t="str">
        <f>VLOOKUP(B4169,辅助信息!E:J,6,FALSE)</f>
        <v>联系实际收货人（彭江涛13990276572）现场要求炉批号控制2个以下，超2个不给予签收。提前联系到场规格及数量</v>
      </c>
      <c r="O4169" s="62" t="str">
        <f ca="1" t="shared" si="212"/>
        <v/>
      </c>
      <c r="P4169" s="62"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5" t="s">
        <v>186</v>
      </c>
      <c r="C4170" s="70">
        <v>45939</v>
      </c>
      <c r="D4170" s="40" t="str">
        <f>VLOOKUP(B4170,辅助信息!E:K,7,FALSE)</f>
        <v>JWDDCD2025072900123</v>
      </c>
      <c r="E4170" s="40" t="str">
        <f>VLOOKUP(F4170,辅助信息!A:B,2,FALSE)</f>
        <v>螺纹钢</v>
      </c>
      <c r="F4170" s="40" t="s">
        <v>76</v>
      </c>
      <c r="G4170" s="36">
        <v>35</v>
      </c>
      <c r="H4170" s="134"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09" t="str">
        <f>VLOOKUP(B4170,辅助信息!E:J,6,FALSE)</f>
        <v>联系实际收货人（彭江涛13990276572）现场要求炉批号控制2个以下，超2个不给予签收。提前联系到场规格及数量</v>
      </c>
      <c r="O4170" s="62" t="str">
        <f ca="1" t="shared" si="212"/>
        <v/>
      </c>
      <c r="P4170" s="62"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5" t="s">
        <v>186</v>
      </c>
      <c r="C4171" s="70">
        <v>45939</v>
      </c>
      <c r="D4171" s="40" t="str">
        <f>VLOOKUP(B4171,辅助信息!E:K,7,FALSE)</f>
        <v>JWDDCD2025072900123</v>
      </c>
      <c r="E4171" s="40" t="str">
        <f>VLOOKUP(F4171,辅助信息!A:B,2,FALSE)</f>
        <v>螺纹钢</v>
      </c>
      <c r="F4171" s="40" t="s">
        <v>142</v>
      </c>
      <c r="G4171" s="36">
        <v>35</v>
      </c>
      <c r="H4171" s="134">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09" t="str">
        <f>VLOOKUP(B4171,辅助信息!E:J,6,FALSE)</f>
        <v>联系实际收货人（彭江涛13990276572）现场要求炉批号控制2个以下，超2个不给予签收。提前联系到场规格及数量</v>
      </c>
      <c r="O4171" s="62" t="str">
        <f ca="1" t="shared" si="212"/>
        <v/>
      </c>
      <c r="P4171" s="62"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5" t="s">
        <v>92</v>
      </c>
      <c r="C4172" s="70">
        <v>45939</v>
      </c>
      <c r="D4172" s="40" t="str">
        <f>VLOOKUP(B4172,辅助信息!E:K,7,FALSE)</f>
        <v>JWDDCD2025051800046</v>
      </c>
      <c r="E4172" s="40" t="str">
        <f>VLOOKUP(F4172,辅助信息!A:B,2,FALSE)</f>
        <v>盘螺</v>
      </c>
      <c r="F4172" s="40" t="s">
        <v>49</v>
      </c>
      <c r="G4172" s="36">
        <v>2.5</v>
      </c>
      <c r="H4172" s="134"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09" t="str">
        <f>VLOOKUP(B4172,辅助信息!E:J,6,FALSE)</f>
        <v>优先威钢,我方卸车,新老国标钢厂不加价可直发</v>
      </c>
      <c r="M4172" s="148">
        <v>45942</v>
      </c>
      <c r="O4172" s="62">
        <f ca="1" t="shared" si="212"/>
        <v>0</v>
      </c>
      <c r="P4172" s="62">
        <f ca="1" t="shared" si="213"/>
        <v>18</v>
      </c>
      <c r="Q4172" s="29" t="str">
        <f>VLOOKUP(B4172,辅助信息!E:M,9,FALSE)</f>
        <v>ZTWM-CDGS-XS-2024-0092-华西-萌海科创农业生态谷</v>
      </c>
      <c r="R4172" s="29" t="str">
        <f>_xlfn._xlws.FILTER(辅助信息!D:D,辅助信息!E:E=B4172)</f>
        <v>华西萌海-科创农业生态谷</v>
      </c>
    </row>
    <row r="4173" hidden="1" spans="2:18">
      <c r="B4173" s="155" t="s">
        <v>92</v>
      </c>
      <c r="C4173" s="70">
        <v>45939</v>
      </c>
      <c r="D4173" s="40" t="str">
        <f>VLOOKUP(B4173,辅助信息!E:K,7,FALSE)</f>
        <v>JWDDCD2025051800046</v>
      </c>
      <c r="E4173" s="40" t="str">
        <f>VLOOKUP(F4173,辅助信息!A:B,2,FALSE)</f>
        <v>盘螺</v>
      </c>
      <c r="F4173" s="40" t="s">
        <v>40</v>
      </c>
      <c r="G4173" s="36">
        <v>20</v>
      </c>
      <c r="H4173" s="134"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09" t="str">
        <f>VLOOKUP(B4173,辅助信息!E:J,6,FALSE)</f>
        <v>优先威钢,我方卸车,新老国标钢厂不加价可直发</v>
      </c>
      <c r="M4173" s="148">
        <v>45942</v>
      </c>
      <c r="O4173" s="62">
        <f ca="1" t="shared" si="212"/>
        <v>0</v>
      </c>
      <c r="P4173" s="62">
        <f ca="1" t="shared" si="213"/>
        <v>18</v>
      </c>
      <c r="Q4173" s="29" t="str">
        <f>VLOOKUP(B4173,辅助信息!E:M,9,FALSE)</f>
        <v>ZTWM-CDGS-XS-2024-0092-华西-萌海科创农业生态谷</v>
      </c>
      <c r="R4173" s="29" t="str">
        <f>_xlfn._xlws.FILTER(辅助信息!D:D,辅助信息!E:E=B4173)</f>
        <v>华西萌海-科创农业生态谷</v>
      </c>
    </row>
    <row r="4174" hidden="1" spans="2:18">
      <c r="B4174" s="155" t="s">
        <v>92</v>
      </c>
      <c r="C4174" s="70">
        <v>45939</v>
      </c>
      <c r="D4174" s="40" t="str">
        <f>VLOOKUP(B4174,辅助信息!E:K,7,FALSE)</f>
        <v>JWDDCD2025051800046</v>
      </c>
      <c r="E4174" s="40" t="str">
        <f>VLOOKUP(F4174,辅助信息!A:B,2,FALSE)</f>
        <v>盘螺</v>
      </c>
      <c r="F4174" s="40" t="s">
        <v>41</v>
      </c>
      <c r="G4174" s="36">
        <v>15</v>
      </c>
      <c r="H4174" s="134"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09" t="str">
        <f>VLOOKUP(B4174,辅助信息!E:J,6,FALSE)</f>
        <v>优先威钢,我方卸车,新老国标钢厂不加价可直发</v>
      </c>
      <c r="M4174" s="148">
        <v>45942</v>
      </c>
      <c r="O4174" s="62">
        <f ca="1" t="shared" si="212"/>
        <v>0</v>
      </c>
      <c r="P4174" s="62">
        <f ca="1" t="shared" si="213"/>
        <v>18</v>
      </c>
      <c r="Q4174" s="29" t="str">
        <f>VLOOKUP(B4174,辅助信息!E:M,9,FALSE)</f>
        <v>ZTWM-CDGS-XS-2024-0092-华西-萌海科创农业生态谷</v>
      </c>
      <c r="R4174" s="29" t="str">
        <f>_xlfn._xlws.FILTER(辅助信息!D:D,辅助信息!E:E=B4174)</f>
        <v>华西萌海-科创农业生态谷</v>
      </c>
    </row>
    <row r="4175" hidden="1" spans="2:18">
      <c r="B4175" s="155" t="s">
        <v>92</v>
      </c>
      <c r="C4175" s="70">
        <v>45939</v>
      </c>
      <c r="D4175" s="40" t="str">
        <f>VLOOKUP(B4175,辅助信息!E:K,7,FALSE)</f>
        <v>JWDDCD2025051800046</v>
      </c>
      <c r="E4175" s="40" t="str">
        <f>VLOOKUP(F4175,辅助信息!A:B,2,FALSE)</f>
        <v>盘螺</v>
      </c>
      <c r="F4175" s="40" t="s">
        <v>26</v>
      </c>
      <c r="G4175" s="36">
        <v>5</v>
      </c>
      <c r="H4175" s="134"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09" t="str">
        <f>VLOOKUP(B4175,辅助信息!E:J,6,FALSE)</f>
        <v>优先威钢,我方卸车,新老国标钢厂不加价可直发</v>
      </c>
      <c r="M4175" s="148">
        <v>45942</v>
      </c>
      <c r="O4175" s="62">
        <f ca="1" t="shared" si="212"/>
        <v>0</v>
      </c>
      <c r="P4175" s="62">
        <f ca="1" t="shared" si="213"/>
        <v>18</v>
      </c>
      <c r="Q4175" s="29" t="str">
        <f>VLOOKUP(B4175,辅助信息!E:M,9,FALSE)</f>
        <v>ZTWM-CDGS-XS-2024-0092-华西-萌海科创农业生态谷</v>
      </c>
      <c r="R4175" s="29" t="str">
        <f>_xlfn._xlws.FILTER(辅助信息!D:D,辅助信息!E:E=B4175)</f>
        <v>华西萌海-科创农业生态谷</v>
      </c>
    </row>
    <row r="4176" hidden="1" spans="2:18">
      <c r="B4176" s="155" t="s">
        <v>92</v>
      </c>
      <c r="C4176" s="70">
        <v>45939</v>
      </c>
      <c r="D4176" s="40" t="str">
        <f>VLOOKUP(B4176,辅助信息!E:K,7,FALSE)</f>
        <v>JWDDCD2025051800046</v>
      </c>
      <c r="E4176" s="40" t="str">
        <f>VLOOKUP(F4176,辅助信息!A:B,2,FALSE)</f>
        <v>螺纹钢</v>
      </c>
      <c r="F4176" s="40" t="s">
        <v>27</v>
      </c>
      <c r="G4176" s="36">
        <v>5</v>
      </c>
      <c r="H4176" s="134"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09" t="str">
        <f>VLOOKUP(B4176,辅助信息!E:J,6,FALSE)</f>
        <v>优先威钢,我方卸车,新老国标钢厂不加价可直发</v>
      </c>
      <c r="M4176" s="148">
        <v>45942</v>
      </c>
      <c r="O4176" s="62">
        <f ca="1" t="shared" si="212"/>
        <v>0</v>
      </c>
      <c r="P4176" s="62">
        <f ca="1" t="shared" si="213"/>
        <v>18</v>
      </c>
      <c r="Q4176" s="29" t="str">
        <f>VLOOKUP(B4176,辅助信息!E:M,9,FALSE)</f>
        <v>ZTWM-CDGS-XS-2024-0092-华西-萌海科创农业生态谷</v>
      </c>
      <c r="R4176" s="29" t="str">
        <f>_xlfn._xlws.FILTER(辅助信息!D:D,辅助信息!E:E=B4176)</f>
        <v>华西萌海-科创农业生态谷</v>
      </c>
    </row>
    <row r="4177" hidden="1" spans="2:18">
      <c r="B4177" s="155" t="s">
        <v>92</v>
      </c>
      <c r="C4177" s="70">
        <v>45939</v>
      </c>
      <c r="D4177" s="40" t="str">
        <f>VLOOKUP(B4177,辅助信息!E:K,7,FALSE)</f>
        <v>JWDDCD2025051800046</v>
      </c>
      <c r="E4177" s="40" t="str">
        <f>VLOOKUP(F4177,辅助信息!A:B,2,FALSE)</f>
        <v>螺纹钢</v>
      </c>
      <c r="F4177" s="40" t="s">
        <v>19</v>
      </c>
      <c r="G4177" s="36">
        <v>5</v>
      </c>
      <c r="H4177" s="134"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09" t="str">
        <f>VLOOKUP(B4177,辅助信息!E:J,6,FALSE)</f>
        <v>优先威钢,我方卸车,新老国标钢厂不加价可直发</v>
      </c>
      <c r="M4177" s="148">
        <v>45942</v>
      </c>
      <c r="O4177" s="62">
        <f ca="1" t="shared" si="212"/>
        <v>0</v>
      </c>
      <c r="P4177" s="62">
        <f ca="1" t="shared" si="213"/>
        <v>18</v>
      </c>
      <c r="Q4177" s="29" t="str">
        <f>VLOOKUP(B4177,辅助信息!E:M,9,FALSE)</f>
        <v>ZTWM-CDGS-XS-2024-0092-华西-萌海科创农业生态谷</v>
      </c>
      <c r="R4177" s="29" t="str">
        <f>_xlfn._xlws.FILTER(辅助信息!D:D,辅助信息!E:E=B4177)</f>
        <v>华西萌海-科创农业生态谷</v>
      </c>
    </row>
    <row r="4178" hidden="1" spans="2:18">
      <c r="B4178" s="155" t="s">
        <v>92</v>
      </c>
      <c r="C4178" s="70">
        <v>45939</v>
      </c>
      <c r="D4178" s="40" t="str">
        <f>VLOOKUP(B4178,辅助信息!E:K,7,FALSE)</f>
        <v>JWDDCD2025051800046</v>
      </c>
      <c r="E4178" s="40" t="str">
        <f>VLOOKUP(F4178,辅助信息!A:B,2,FALSE)</f>
        <v>螺纹钢</v>
      </c>
      <c r="F4178" s="40" t="s">
        <v>45</v>
      </c>
      <c r="G4178" s="36">
        <v>3</v>
      </c>
      <c r="H4178" s="134"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09" t="str">
        <f>VLOOKUP(B4178,辅助信息!E:J,6,FALSE)</f>
        <v>优先威钢,我方卸车,新老国标钢厂不加价可直发</v>
      </c>
      <c r="M4178" s="148">
        <v>45942</v>
      </c>
      <c r="O4178" s="62">
        <f ca="1" t="shared" si="212"/>
        <v>0</v>
      </c>
      <c r="P4178" s="62">
        <f ca="1" t="shared" si="213"/>
        <v>18</v>
      </c>
      <c r="Q4178" s="29" t="str">
        <f>VLOOKUP(B4178,辅助信息!E:M,9,FALSE)</f>
        <v>ZTWM-CDGS-XS-2024-0092-华西-萌海科创农业生态谷</v>
      </c>
      <c r="R4178" s="29" t="str">
        <f>_xlfn._xlws.FILTER(辅助信息!D:D,辅助信息!E:E=B4178)</f>
        <v>华西萌海-科创农业生态谷</v>
      </c>
    </row>
    <row r="4179" hidden="1" spans="2:18">
      <c r="B4179" s="155" t="s">
        <v>92</v>
      </c>
      <c r="C4179" s="70">
        <v>45939</v>
      </c>
      <c r="D4179" s="40" t="str">
        <f>VLOOKUP(B4179,辅助信息!E:K,7,FALSE)</f>
        <v>JWDDCD2025051800046</v>
      </c>
      <c r="E4179" s="40" t="str">
        <f>VLOOKUP(F4179,辅助信息!A:B,2,FALSE)</f>
        <v>螺纹钢</v>
      </c>
      <c r="F4179" s="40" t="s">
        <v>58</v>
      </c>
      <c r="G4179" s="36">
        <v>3</v>
      </c>
      <c r="H4179" s="134"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09" t="str">
        <f>VLOOKUP(B4179,辅助信息!E:J,6,FALSE)</f>
        <v>优先威钢,我方卸车,新老国标钢厂不加价可直发</v>
      </c>
      <c r="M4179" s="148">
        <v>45942</v>
      </c>
      <c r="O4179" s="62">
        <f ca="1" t="shared" si="212"/>
        <v>0</v>
      </c>
      <c r="P4179" s="62">
        <f ca="1" t="shared" si="213"/>
        <v>18</v>
      </c>
      <c r="Q4179" s="29" t="str">
        <f>VLOOKUP(B4179,辅助信息!E:M,9,FALSE)</f>
        <v>ZTWM-CDGS-XS-2024-0092-华西-萌海科创农业生态谷</v>
      </c>
      <c r="R4179" s="29" t="str">
        <f>_xlfn._xlws.FILTER(辅助信息!D:D,辅助信息!E:E=B4179)</f>
        <v>华西萌海-科创农业生态谷</v>
      </c>
    </row>
    <row r="4180" hidden="1" spans="2:18">
      <c r="B4180" s="155" t="s">
        <v>92</v>
      </c>
      <c r="C4180" s="70">
        <v>45939</v>
      </c>
      <c r="D4180" s="40" t="str">
        <f>VLOOKUP(B4180,辅助信息!E:K,7,FALSE)</f>
        <v>JWDDCD2025051800046</v>
      </c>
      <c r="E4180" s="40" t="str">
        <f>VLOOKUP(F4180,辅助信息!A:B,2,FALSE)</f>
        <v>螺纹钢</v>
      </c>
      <c r="F4180" s="40" t="s">
        <v>22</v>
      </c>
      <c r="G4180" s="36">
        <v>6</v>
      </c>
      <c r="H4180" s="134"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09" t="str">
        <f>VLOOKUP(B4180,辅助信息!E:J,6,FALSE)</f>
        <v>优先威钢,我方卸车,新老国标钢厂不加价可直发</v>
      </c>
      <c r="M4180" s="148">
        <v>45942</v>
      </c>
      <c r="O4180" s="62">
        <f ca="1" t="shared" si="212"/>
        <v>0</v>
      </c>
      <c r="P4180" s="62">
        <f ca="1" t="shared" si="213"/>
        <v>18</v>
      </c>
      <c r="Q4180" s="29" t="str">
        <f>VLOOKUP(B4180,辅助信息!E:M,9,FALSE)</f>
        <v>ZTWM-CDGS-XS-2024-0092-华西-萌海科创农业生态谷</v>
      </c>
      <c r="R4180" s="29" t="str">
        <f>_xlfn._xlws.FILTER(辅助信息!D:D,辅助信息!E:E=B4180)</f>
        <v>华西萌海-科创农业生态谷</v>
      </c>
    </row>
    <row r="4181" hidden="1" spans="2:18">
      <c r="B4181" s="155" t="s">
        <v>47</v>
      </c>
      <c r="C4181" s="70">
        <v>45939</v>
      </c>
      <c r="D4181" s="40" t="str">
        <f>VLOOKUP(B4181,辅助信息!E:K,7,FALSE)</f>
        <v>JWDDCD2025052800131</v>
      </c>
      <c r="E4181" s="40" t="str">
        <f>VLOOKUP(F4181,辅助信息!A:B,2,FALSE)</f>
        <v>盘螺</v>
      </c>
      <c r="F4181" s="40" t="s">
        <v>49</v>
      </c>
      <c r="G4181" s="36">
        <v>6</v>
      </c>
      <c r="H4181" s="134">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09" t="str">
        <f>VLOOKUP(B4181,辅助信息!E:J,6,FALSE)</f>
        <v>控制炉批号！多了现场不收！,优先安排达钢,提前联系到场规格及数量</v>
      </c>
      <c r="M4181" s="91">
        <v>45941</v>
      </c>
      <c r="O4181" s="62">
        <f ca="1" t="shared" si="212"/>
        <v>0</v>
      </c>
      <c r="P4181" s="62">
        <f ca="1" t="shared" si="213"/>
        <v>19</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5" t="s">
        <v>47</v>
      </c>
      <c r="C4182" s="70">
        <v>45939</v>
      </c>
      <c r="D4182" s="40" t="str">
        <f>VLOOKUP(B4182,辅助信息!E:K,7,FALSE)</f>
        <v>JWDDCD2025052800131</v>
      </c>
      <c r="E4182" s="40" t="str">
        <f>VLOOKUP(F4182,辅助信息!A:B,2,FALSE)</f>
        <v>盘螺</v>
      </c>
      <c r="F4182" s="40" t="s">
        <v>40</v>
      </c>
      <c r="G4182" s="36">
        <v>12</v>
      </c>
      <c r="H4182" s="134">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09" t="str">
        <f>VLOOKUP(B4182,辅助信息!E:J,6,FALSE)</f>
        <v>控制炉批号！多了现场不收！,优先安排达钢,提前联系到场规格及数量</v>
      </c>
      <c r="M4182" s="91">
        <v>45941</v>
      </c>
      <c r="O4182" s="62">
        <f ca="1" t="shared" si="212"/>
        <v>0</v>
      </c>
      <c r="P4182" s="62">
        <f ca="1" t="shared" si="213"/>
        <v>19</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5" t="s">
        <v>47</v>
      </c>
      <c r="C4183" s="70">
        <v>45939</v>
      </c>
      <c r="D4183" s="40" t="str">
        <f>VLOOKUP(B4183,辅助信息!E:K,7,FALSE)</f>
        <v>JWDDCD2025052800131</v>
      </c>
      <c r="E4183" s="40" t="str">
        <f>VLOOKUP(F4183,辅助信息!A:B,2,FALSE)</f>
        <v>螺纹钢</v>
      </c>
      <c r="F4183" s="40" t="s">
        <v>27</v>
      </c>
      <c r="G4183" s="36">
        <v>15</v>
      </c>
      <c r="H4183" s="134">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09" t="str">
        <f>VLOOKUP(B4183,辅助信息!E:J,6,FALSE)</f>
        <v>控制炉批号！多了现场不收！,优先安排达钢,提前联系到场规格及数量</v>
      </c>
      <c r="M4183" s="91">
        <v>45941</v>
      </c>
      <c r="O4183" s="62">
        <f ca="1" t="shared" si="212"/>
        <v>0</v>
      </c>
      <c r="P4183" s="62">
        <f ca="1" t="shared" si="213"/>
        <v>19</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5" t="s">
        <v>47</v>
      </c>
      <c r="C4184" s="70">
        <v>45939</v>
      </c>
      <c r="D4184" s="40" t="str">
        <f>VLOOKUP(B4184,辅助信息!E:K,7,FALSE)</f>
        <v>JWDDCD2025052800131</v>
      </c>
      <c r="E4184" s="40" t="str">
        <f>VLOOKUP(F4184,辅助信息!A:B,2,FALSE)</f>
        <v>螺纹钢</v>
      </c>
      <c r="F4184" s="40" t="s">
        <v>32</v>
      </c>
      <c r="G4184" s="36">
        <v>6</v>
      </c>
      <c r="H4184" s="134">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09" t="str">
        <f>VLOOKUP(B4184,辅助信息!E:J,6,FALSE)</f>
        <v>控制炉批号！多了现场不收！,优先安排达钢,提前联系到场规格及数量</v>
      </c>
      <c r="M4184" s="91">
        <v>45941</v>
      </c>
      <c r="O4184" s="62">
        <f ca="1" t="shared" si="212"/>
        <v>0</v>
      </c>
      <c r="P4184" s="62">
        <f ca="1" t="shared" si="213"/>
        <v>19</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5" t="s">
        <v>47</v>
      </c>
      <c r="C4185" s="70">
        <v>45939</v>
      </c>
      <c r="D4185" s="40" t="str">
        <f>VLOOKUP(B4185,辅助信息!E:K,7,FALSE)</f>
        <v>JWDDCD2025052800131</v>
      </c>
      <c r="E4185" s="40" t="str">
        <f>VLOOKUP(F4185,辅助信息!A:B,2,FALSE)</f>
        <v>螺纹钢</v>
      </c>
      <c r="F4185" s="40" t="s">
        <v>33</v>
      </c>
      <c r="G4185" s="36">
        <v>9</v>
      </c>
      <c r="H4185" s="134">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09" t="str">
        <f>VLOOKUP(B4185,辅助信息!E:J,6,FALSE)</f>
        <v>控制炉批号！多了现场不收！,优先安排达钢,提前联系到场规格及数量</v>
      </c>
      <c r="M4185" s="91">
        <v>45941</v>
      </c>
      <c r="O4185" s="62">
        <f ca="1" t="shared" si="212"/>
        <v>0</v>
      </c>
      <c r="P4185" s="62">
        <f ca="1" t="shared" si="213"/>
        <v>19</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5" t="s">
        <v>228</v>
      </c>
      <c r="C4186" s="70">
        <v>45939</v>
      </c>
      <c r="D4186" s="40" t="str">
        <f>VLOOKUP(B4186,辅助信息!E:K,7,FALSE)</f>
        <v>JWDDCD2025092400190</v>
      </c>
      <c r="E4186" s="40" t="str">
        <f>VLOOKUP(F4186,辅助信息!A:B,2,FALSE)</f>
        <v>螺纹钢</v>
      </c>
      <c r="F4186" s="40" t="s">
        <v>27</v>
      </c>
      <c r="G4186" s="36">
        <v>70</v>
      </c>
      <c r="H4186" s="134"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09">
        <f>VLOOKUP(B4186,辅助信息!E:J,6,FALSE)</f>
        <v>0</v>
      </c>
      <c r="M4186" s="91">
        <v>45941</v>
      </c>
      <c r="O4186" s="62">
        <f ca="1" t="shared" si="212"/>
        <v>0</v>
      </c>
      <c r="P4186" s="62">
        <f ca="1" t="shared" si="213"/>
        <v>19</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5" t="s">
        <v>228</v>
      </c>
      <c r="C4187" s="70">
        <v>45939</v>
      </c>
      <c r="D4187" s="40" t="str">
        <f>VLOOKUP(B4187,辅助信息!E:K,7,FALSE)</f>
        <v>JWDDCD2025092400190</v>
      </c>
      <c r="E4187" s="40" t="str">
        <f>VLOOKUP(F4187,辅助信息!A:B,2,FALSE)</f>
        <v>螺纹钢</v>
      </c>
      <c r="F4187" s="40" t="s">
        <v>32</v>
      </c>
      <c r="G4187" s="36">
        <v>35</v>
      </c>
      <c r="H4187" s="134"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09">
        <f>VLOOKUP(B4187,辅助信息!E:J,6,FALSE)</f>
        <v>0</v>
      </c>
      <c r="M4187" s="91">
        <v>45941</v>
      </c>
      <c r="O4187" s="62">
        <f ca="1" t="shared" si="212"/>
        <v>0</v>
      </c>
      <c r="P4187" s="62">
        <f ca="1" t="shared" si="213"/>
        <v>19</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5" t="s">
        <v>228</v>
      </c>
      <c r="C4188" s="70">
        <v>45939</v>
      </c>
      <c r="D4188" s="40" t="str">
        <f>VLOOKUP(B4188,辅助信息!E:K,7,FALSE)</f>
        <v>JWDDCD2025092400190</v>
      </c>
      <c r="E4188" s="40" t="str">
        <f>VLOOKUP(F4188,辅助信息!A:B,2,FALSE)</f>
        <v>螺纹钢</v>
      </c>
      <c r="F4188" s="40" t="s">
        <v>30</v>
      </c>
      <c r="G4188" s="36">
        <v>20</v>
      </c>
      <c r="H4188" s="134"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09">
        <f>VLOOKUP(B4188,辅助信息!E:J,6,FALSE)</f>
        <v>0</v>
      </c>
      <c r="M4188" s="91">
        <v>45941</v>
      </c>
      <c r="O4188" s="62">
        <f ca="1" t="shared" si="212"/>
        <v>0</v>
      </c>
      <c r="P4188" s="62">
        <f ca="1" t="shared" si="213"/>
        <v>19</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5" t="s">
        <v>228</v>
      </c>
      <c r="C4189" s="70">
        <v>45939</v>
      </c>
      <c r="D4189" s="40" t="str">
        <f>VLOOKUP(B4189,辅助信息!E:K,7,FALSE)</f>
        <v>JWDDCD2025092400190</v>
      </c>
      <c r="E4189" s="40" t="str">
        <f>VLOOKUP(F4189,辅助信息!A:B,2,FALSE)</f>
        <v>螺纹钢</v>
      </c>
      <c r="F4189" s="40" t="s">
        <v>28</v>
      </c>
      <c r="G4189" s="36">
        <v>12</v>
      </c>
      <c r="H4189" s="134"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09">
        <f>VLOOKUP(B4189,辅助信息!E:J,6,FALSE)</f>
        <v>0</v>
      </c>
      <c r="M4189" s="91">
        <v>45941</v>
      </c>
      <c r="O4189" s="62">
        <f ca="1" t="shared" si="212"/>
        <v>0</v>
      </c>
      <c r="P4189" s="62">
        <f ca="1" t="shared" si="213"/>
        <v>19</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5" t="s">
        <v>228</v>
      </c>
      <c r="C4190" s="70">
        <v>45939</v>
      </c>
      <c r="D4190" s="40" t="str">
        <f>VLOOKUP(B4190,辅助信息!E:K,7,FALSE)</f>
        <v>JWDDCD2025092400190</v>
      </c>
      <c r="E4190" s="40" t="str">
        <f>VLOOKUP(F4190,辅助信息!A:B,2,FALSE)</f>
        <v>螺纹钢</v>
      </c>
      <c r="F4190" s="40" t="s">
        <v>46</v>
      </c>
      <c r="G4190" s="36">
        <v>3</v>
      </c>
      <c r="H4190" s="134"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09">
        <f>VLOOKUP(B4190,辅助信息!E:J,6,FALSE)</f>
        <v>0</v>
      </c>
      <c r="M4190" s="91">
        <v>45941</v>
      </c>
      <c r="O4190" s="62">
        <f ca="1" t="shared" si="212"/>
        <v>0</v>
      </c>
      <c r="P4190" s="62">
        <f ca="1" t="shared" si="213"/>
        <v>19</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5" t="s">
        <v>224</v>
      </c>
      <c r="C4191" s="70">
        <v>45939</v>
      </c>
      <c r="D4191" s="40" t="str">
        <f>VLOOKUP(B4191,辅助信息!E:K,7,FALSE)</f>
        <v>JWDDCD2025092400188</v>
      </c>
      <c r="E4191" s="40" t="str">
        <f>VLOOKUP(F4191,辅助信息!A:B,2,FALSE)</f>
        <v>盘螺</v>
      </c>
      <c r="F4191" s="40" t="s">
        <v>40</v>
      </c>
      <c r="G4191" s="36">
        <v>40</v>
      </c>
      <c r="H4191" s="134"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09">
        <f>VLOOKUP(B4191,辅助信息!E:J,6,FALSE)</f>
        <v>0</v>
      </c>
      <c r="M4191" s="91">
        <v>45941</v>
      </c>
      <c r="O4191" s="62">
        <f ca="1" t="shared" si="212"/>
        <v>0</v>
      </c>
      <c r="P4191" s="62">
        <f ca="1" t="shared" si="213"/>
        <v>19</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5" t="s">
        <v>224</v>
      </c>
      <c r="C4192" s="70">
        <v>45939</v>
      </c>
      <c r="D4192" s="40" t="str">
        <f>VLOOKUP(B4192,辅助信息!E:K,7,FALSE)</f>
        <v>JWDDCD2025092400188</v>
      </c>
      <c r="E4192" s="40" t="str">
        <f>VLOOKUP(F4192,辅助信息!A:B,2,FALSE)</f>
        <v>盘螺</v>
      </c>
      <c r="F4192" s="40" t="s">
        <v>41</v>
      </c>
      <c r="G4192" s="36">
        <v>30</v>
      </c>
      <c r="H4192" s="134"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09">
        <f>VLOOKUP(B4192,辅助信息!E:J,6,FALSE)</f>
        <v>0</v>
      </c>
      <c r="M4192" s="91">
        <v>45941</v>
      </c>
      <c r="O4192" s="62">
        <f ca="1" t="shared" ref="O4192:O4255" si="214">IF(OR(M4192="",N4192&lt;&gt;""),"",MAX(M4192-TODAY(),0))</f>
        <v>0</v>
      </c>
      <c r="P4192" s="62">
        <f ca="1" t="shared" ref="P4192:P4255" si="215">IF(M4192="","",IF(N4192&lt;&gt;"",MAX(N4192-M4192,0),IF(TODAY()&gt;M4192,TODAY()-M4192,0)))</f>
        <v>19</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5" t="s">
        <v>224</v>
      </c>
      <c r="C4193" s="70">
        <v>45939</v>
      </c>
      <c r="D4193" s="40" t="str">
        <f>VLOOKUP(B4193,辅助信息!E:K,7,FALSE)</f>
        <v>JWDDCD2025092400188</v>
      </c>
      <c r="E4193" s="40" t="str">
        <f>VLOOKUP(F4193,辅助信息!A:B,2,FALSE)</f>
        <v>螺纹钢</v>
      </c>
      <c r="F4193" s="40" t="s">
        <v>27</v>
      </c>
      <c r="G4193" s="36">
        <f>30+45</f>
        <v>75</v>
      </c>
      <c r="H4193" s="134"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09">
        <f>VLOOKUP(B4193,辅助信息!E:J,6,FALSE)</f>
        <v>0</v>
      </c>
      <c r="M4193" s="91">
        <v>45941</v>
      </c>
      <c r="O4193" s="62">
        <f ca="1" t="shared" si="214"/>
        <v>0</v>
      </c>
      <c r="P4193" s="62">
        <f ca="1" t="shared" si="215"/>
        <v>19</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5" t="s">
        <v>224</v>
      </c>
      <c r="C4194" s="70">
        <v>45939</v>
      </c>
      <c r="D4194" s="40" t="str">
        <f>VLOOKUP(B4194,辅助信息!E:K,7,FALSE)</f>
        <v>JWDDCD2025092400188</v>
      </c>
      <c r="E4194" s="40" t="str">
        <f>VLOOKUP(F4194,辅助信息!A:B,2,FALSE)</f>
        <v>螺纹钢</v>
      </c>
      <c r="F4194" s="40" t="s">
        <v>19</v>
      </c>
      <c r="G4194" s="36">
        <v>13</v>
      </c>
      <c r="H4194" s="134"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09">
        <f>VLOOKUP(B4194,辅助信息!E:J,6,FALSE)</f>
        <v>0</v>
      </c>
      <c r="M4194" s="91">
        <v>45941</v>
      </c>
      <c r="O4194" s="62">
        <f ca="1" t="shared" si="214"/>
        <v>0</v>
      </c>
      <c r="P4194" s="62">
        <f ca="1" t="shared" si="215"/>
        <v>19</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5" t="s">
        <v>224</v>
      </c>
      <c r="C4195" s="70">
        <v>45939</v>
      </c>
      <c r="D4195" s="40" t="str">
        <f>VLOOKUP(B4195,辅助信息!E:K,7,FALSE)</f>
        <v>JWDDCD2025092400188</v>
      </c>
      <c r="E4195" s="40" t="str">
        <f>VLOOKUP(F4195,辅助信息!A:B,2,FALSE)</f>
        <v>螺纹钢</v>
      </c>
      <c r="F4195" s="40" t="s">
        <v>32</v>
      </c>
      <c r="G4195" s="36">
        <v>16</v>
      </c>
      <c r="H4195" s="134"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09">
        <f>VLOOKUP(B4195,辅助信息!E:J,6,FALSE)</f>
        <v>0</v>
      </c>
      <c r="M4195" s="91">
        <v>45941</v>
      </c>
      <c r="O4195" s="62">
        <f ca="1" t="shared" si="214"/>
        <v>0</v>
      </c>
      <c r="P4195" s="62">
        <f ca="1" t="shared" si="215"/>
        <v>19</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5" t="s">
        <v>224</v>
      </c>
      <c r="C4196" s="70">
        <v>45939</v>
      </c>
      <c r="D4196" s="40" t="str">
        <f>VLOOKUP(B4196,辅助信息!E:K,7,FALSE)</f>
        <v>JWDDCD2025092400188</v>
      </c>
      <c r="E4196" s="40" t="str">
        <f>VLOOKUP(F4196,辅助信息!A:B,2,FALSE)</f>
        <v>螺纹钢</v>
      </c>
      <c r="F4196" s="40" t="s">
        <v>30</v>
      </c>
      <c r="G4196" s="36">
        <v>20</v>
      </c>
      <c r="H4196" s="134"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09">
        <f>VLOOKUP(B4196,辅助信息!E:J,6,FALSE)</f>
        <v>0</v>
      </c>
      <c r="M4196" s="91">
        <v>45941</v>
      </c>
      <c r="O4196" s="62">
        <f ca="1" t="shared" si="214"/>
        <v>0</v>
      </c>
      <c r="P4196" s="62">
        <f ca="1" t="shared" si="215"/>
        <v>19</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5" t="s">
        <v>224</v>
      </c>
      <c r="C4197" s="70">
        <v>45939</v>
      </c>
      <c r="D4197" s="40" t="str">
        <f>VLOOKUP(B4197,辅助信息!E:K,7,FALSE)</f>
        <v>JWDDCD2025092400188</v>
      </c>
      <c r="E4197" s="40" t="str">
        <f>VLOOKUP(F4197,辅助信息!A:B,2,FALSE)</f>
        <v>螺纹钢</v>
      </c>
      <c r="F4197" s="40" t="s">
        <v>33</v>
      </c>
      <c r="G4197" s="36">
        <v>28</v>
      </c>
      <c r="H4197" s="134"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09">
        <f>VLOOKUP(B4197,辅助信息!E:J,6,FALSE)</f>
        <v>0</v>
      </c>
      <c r="M4197" s="91">
        <v>45941</v>
      </c>
      <c r="O4197" s="62">
        <f ca="1" t="shared" si="214"/>
        <v>0</v>
      </c>
      <c r="P4197" s="62">
        <f ca="1" t="shared" si="215"/>
        <v>19</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5" t="s">
        <v>224</v>
      </c>
      <c r="C4198" s="70">
        <v>45939</v>
      </c>
      <c r="D4198" s="40" t="str">
        <f>VLOOKUP(B4198,辅助信息!E:K,7,FALSE)</f>
        <v>JWDDCD2025092400188</v>
      </c>
      <c r="E4198" s="40" t="str">
        <f>VLOOKUP(F4198,辅助信息!A:B,2,FALSE)</f>
        <v>螺纹钢</v>
      </c>
      <c r="F4198" s="40" t="s">
        <v>28</v>
      </c>
      <c r="G4198" s="36">
        <v>36</v>
      </c>
      <c r="H4198" s="134"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09">
        <f>VLOOKUP(B4198,辅助信息!E:J,6,FALSE)</f>
        <v>0</v>
      </c>
      <c r="M4198" s="91">
        <v>45941</v>
      </c>
      <c r="O4198" s="62">
        <f ca="1" t="shared" si="214"/>
        <v>0</v>
      </c>
      <c r="P4198" s="62">
        <f ca="1" t="shared" si="215"/>
        <v>19</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5" t="s">
        <v>224</v>
      </c>
      <c r="C4199" s="70">
        <v>45939</v>
      </c>
      <c r="D4199" s="40" t="str">
        <f>VLOOKUP(B4199,辅助信息!E:K,7,FALSE)</f>
        <v>JWDDCD2025092400188</v>
      </c>
      <c r="E4199" s="40" t="str">
        <f>VLOOKUP(F4199,辅助信息!A:B,2,FALSE)</f>
        <v>螺纹钢</v>
      </c>
      <c r="F4199" s="40" t="s">
        <v>18</v>
      </c>
      <c r="G4199" s="36">
        <v>8</v>
      </c>
      <c r="H4199" s="134"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09">
        <f>VLOOKUP(B4199,辅助信息!E:J,6,FALSE)</f>
        <v>0</v>
      </c>
      <c r="M4199" s="91">
        <v>45941</v>
      </c>
      <c r="O4199" s="62">
        <f ca="1" t="shared" si="214"/>
        <v>0</v>
      </c>
      <c r="P4199" s="62">
        <f ca="1" t="shared" si="215"/>
        <v>19</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5" t="s">
        <v>226</v>
      </c>
      <c r="C4200" s="70">
        <v>45939</v>
      </c>
      <c r="D4200" s="40" t="str">
        <f>VLOOKUP(B4200,辅助信息!E:K,7,FALSE)</f>
        <v>JWDDCD2025092400211</v>
      </c>
      <c r="E4200" s="40" t="str">
        <f>VLOOKUP(F4200,辅助信息!A:B,2,FALSE)</f>
        <v>盘螺</v>
      </c>
      <c r="F4200" s="40" t="s">
        <v>40</v>
      </c>
      <c r="G4200" s="36">
        <v>35</v>
      </c>
      <c r="H4200" s="134"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09">
        <f>VLOOKUP(B4200,辅助信息!E:J,6,FALSE)</f>
        <v>0</v>
      </c>
      <c r="M4200" s="91">
        <v>45941</v>
      </c>
      <c r="O4200" s="62">
        <f ca="1" t="shared" si="214"/>
        <v>0</v>
      </c>
      <c r="P4200" s="62">
        <f ca="1" t="shared" si="215"/>
        <v>19</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5" t="s">
        <v>226</v>
      </c>
      <c r="C4201" s="70">
        <v>45939</v>
      </c>
      <c r="D4201" s="40" t="str">
        <f>VLOOKUP(B4201,辅助信息!E:K,7,FALSE)</f>
        <v>JWDDCD2025092400211</v>
      </c>
      <c r="E4201" s="40" t="str">
        <f>VLOOKUP(F4201,辅助信息!A:B,2,FALSE)</f>
        <v>盘螺</v>
      </c>
      <c r="F4201" s="40" t="s">
        <v>41</v>
      </c>
      <c r="G4201" s="36">
        <v>35</v>
      </c>
      <c r="H4201" s="134"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09">
        <f>VLOOKUP(B4201,辅助信息!E:J,6,FALSE)</f>
        <v>0</v>
      </c>
      <c r="M4201" s="91">
        <v>45941</v>
      </c>
      <c r="O4201" s="62">
        <f ca="1" t="shared" si="214"/>
        <v>0</v>
      </c>
      <c r="P4201" s="62">
        <f ca="1" t="shared" si="215"/>
        <v>19</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5" t="s">
        <v>226</v>
      </c>
      <c r="C4202" s="70">
        <v>45939</v>
      </c>
      <c r="D4202" s="40" t="str">
        <f>VLOOKUP(B4202,辅助信息!E:K,7,FALSE)</f>
        <v>JWDDCD2025092400211</v>
      </c>
      <c r="E4202" s="40" t="str">
        <f>VLOOKUP(F4202,辅助信息!A:B,2,FALSE)</f>
        <v>盘螺</v>
      </c>
      <c r="F4202" s="40" t="s">
        <v>26</v>
      </c>
      <c r="G4202" s="36">
        <v>35</v>
      </c>
      <c r="H4202" s="134"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09">
        <f>VLOOKUP(B4202,辅助信息!E:J,6,FALSE)</f>
        <v>0</v>
      </c>
      <c r="M4202" s="91">
        <v>45941</v>
      </c>
      <c r="O4202" s="62">
        <f ca="1" t="shared" si="214"/>
        <v>0</v>
      </c>
      <c r="P4202" s="62">
        <f ca="1" t="shared" si="215"/>
        <v>19</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5" t="s">
        <v>226</v>
      </c>
      <c r="C4203" s="70">
        <v>45939</v>
      </c>
      <c r="D4203" s="40" t="str">
        <f>VLOOKUP(B4203,辅助信息!E:K,7,FALSE)</f>
        <v>JWDDCD2025092400211</v>
      </c>
      <c r="E4203" s="40" t="str">
        <f>VLOOKUP(F4203,辅助信息!A:B,2,FALSE)</f>
        <v>螺纹钢</v>
      </c>
      <c r="F4203" s="40" t="s">
        <v>19</v>
      </c>
      <c r="G4203" s="36">
        <v>35</v>
      </c>
      <c r="H4203" s="134"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09">
        <f>VLOOKUP(B4203,辅助信息!E:J,6,FALSE)</f>
        <v>0</v>
      </c>
      <c r="M4203" s="91">
        <v>45941</v>
      </c>
      <c r="O4203" s="62">
        <f ca="1" t="shared" si="214"/>
        <v>0</v>
      </c>
      <c r="P4203" s="62">
        <f ca="1" t="shared" si="215"/>
        <v>19</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5" t="s">
        <v>226</v>
      </c>
      <c r="C4204" s="70">
        <v>45939</v>
      </c>
      <c r="D4204" s="40" t="str">
        <f>VLOOKUP(B4204,辅助信息!E:K,7,FALSE)</f>
        <v>JWDDCD2025092400211</v>
      </c>
      <c r="E4204" s="40" t="str">
        <f>VLOOKUP(F4204,辅助信息!A:B,2,FALSE)</f>
        <v>螺纹钢</v>
      </c>
      <c r="F4204" s="40" t="s">
        <v>33</v>
      </c>
      <c r="G4204" s="36">
        <v>25</v>
      </c>
      <c r="H4204" s="134"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09">
        <f>VLOOKUP(B4204,辅助信息!E:J,6,FALSE)</f>
        <v>0</v>
      </c>
      <c r="M4204" s="91">
        <v>45941</v>
      </c>
      <c r="O4204" s="62">
        <f ca="1" t="shared" si="214"/>
        <v>0</v>
      </c>
      <c r="P4204" s="62">
        <f ca="1" t="shared" si="215"/>
        <v>19</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5" t="s">
        <v>226</v>
      </c>
      <c r="C4205" s="70">
        <v>45939</v>
      </c>
      <c r="D4205" s="40" t="str">
        <f>VLOOKUP(B4205,辅助信息!E:K,7,FALSE)</f>
        <v>JWDDCD2025092400211</v>
      </c>
      <c r="E4205" s="40" t="str">
        <f>VLOOKUP(F4205,辅助信息!A:B,2,FALSE)</f>
        <v>螺纹钢</v>
      </c>
      <c r="F4205" s="40" t="s">
        <v>28</v>
      </c>
      <c r="G4205" s="36">
        <v>21</v>
      </c>
      <c r="H4205" s="134"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09">
        <f>VLOOKUP(B4205,辅助信息!E:J,6,FALSE)</f>
        <v>0</v>
      </c>
      <c r="M4205" s="91">
        <v>45941</v>
      </c>
      <c r="O4205" s="62">
        <f ca="1" t="shared" si="214"/>
        <v>0</v>
      </c>
      <c r="P4205" s="62">
        <f ca="1" t="shared" si="215"/>
        <v>19</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5" t="s">
        <v>226</v>
      </c>
      <c r="C4206" s="70">
        <v>45939</v>
      </c>
      <c r="D4206" s="40" t="str">
        <f>VLOOKUP(B4206,辅助信息!E:K,7,FALSE)</f>
        <v>JWDDCD2025092400211</v>
      </c>
      <c r="E4206" s="40" t="str">
        <f>VLOOKUP(F4206,辅助信息!A:B,2,FALSE)</f>
        <v>螺纹钢</v>
      </c>
      <c r="F4206" s="40" t="s">
        <v>18</v>
      </c>
      <c r="G4206" s="36">
        <v>9</v>
      </c>
      <c r="H4206" s="134"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09">
        <f>VLOOKUP(B4206,辅助信息!E:J,6,FALSE)</f>
        <v>0</v>
      </c>
      <c r="M4206" s="91">
        <v>45941</v>
      </c>
      <c r="O4206" s="62">
        <f ca="1" t="shared" si="214"/>
        <v>0</v>
      </c>
      <c r="P4206" s="62">
        <f ca="1" t="shared" si="215"/>
        <v>19</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7" t="s">
        <v>234</v>
      </c>
      <c r="B4207" s="135" t="s">
        <v>229</v>
      </c>
      <c r="C4207" s="70">
        <v>45939</v>
      </c>
      <c r="D4207" s="40" t="str">
        <f>VLOOKUP(B4207,辅助信息!E:K,7,FALSE)</f>
        <v>JWDDCD2025092400212</v>
      </c>
      <c r="E4207" s="40" t="str">
        <f>VLOOKUP(F4207,辅助信息!A:B,2,FALSE)</f>
        <v>盘螺</v>
      </c>
      <c r="F4207" s="40" t="s">
        <v>49</v>
      </c>
      <c r="G4207" s="36">
        <v>8</v>
      </c>
      <c r="H4207" s="134"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09">
        <f>VLOOKUP(B4207,辅助信息!E:J,6,FALSE)</f>
        <v>0</v>
      </c>
      <c r="M4207" s="91">
        <v>45941</v>
      </c>
      <c r="O4207" s="62">
        <f ca="1" t="shared" si="214"/>
        <v>0</v>
      </c>
      <c r="P4207" s="62">
        <f ca="1" t="shared" si="215"/>
        <v>19</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7" t="s">
        <v>234</v>
      </c>
      <c r="B4208" s="135" t="s">
        <v>229</v>
      </c>
      <c r="C4208" s="70">
        <v>45939</v>
      </c>
      <c r="D4208" s="40" t="str">
        <f>VLOOKUP(B4208,辅助信息!E:K,7,FALSE)</f>
        <v>JWDDCD2025092400212</v>
      </c>
      <c r="E4208" s="40" t="str">
        <f>VLOOKUP(F4208,辅助信息!A:B,2,FALSE)</f>
        <v>盘螺</v>
      </c>
      <c r="F4208" s="40" t="s">
        <v>40</v>
      </c>
      <c r="G4208" s="36">
        <v>69</v>
      </c>
      <c r="H4208" s="134"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09">
        <f>VLOOKUP(B4208,辅助信息!E:J,6,FALSE)</f>
        <v>0</v>
      </c>
      <c r="M4208" s="91">
        <v>45941</v>
      </c>
      <c r="O4208" s="62">
        <f ca="1" t="shared" si="214"/>
        <v>0</v>
      </c>
      <c r="P4208" s="62">
        <f ca="1" t="shared" si="215"/>
        <v>19</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7" t="s">
        <v>234</v>
      </c>
      <c r="B4209" s="135" t="s">
        <v>229</v>
      </c>
      <c r="C4209" s="70">
        <v>45939</v>
      </c>
      <c r="D4209" s="40" t="str">
        <f>VLOOKUP(B4209,辅助信息!E:K,7,FALSE)</f>
        <v>JWDDCD2025092400212</v>
      </c>
      <c r="E4209" s="40" t="str">
        <f>VLOOKUP(F4209,辅助信息!A:B,2,FALSE)</f>
        <v>盘螺</v>
      </c>
      <c r="F4209" s="40" t="s">
        <v>41</v>
      </c>
      <c r="G4209" s="36">
        <v>12</v>
      </c>
      <c r="H4209" s="134"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09">
        <f>VLOOKUP(B4209,辅助信息!E:J,6,FALSE)</f>
        <v>0</v>
      </c>
      <c r="M4209" s="91">
        <v>45941</v>
      </c>
      <c r="O4209" s="62">
        <f ca="1" t="shared" si="214"/>
        <v>0</v>
      </c>
      <c r="P4209" s="62">
        <f ca="1" t="shared" si="215"/>
        <v>19</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5" t="s">
        <v>229</v>
      </c>
      <c r="C4210" s="70">
        <v>45939</v>
      </c>
      <c r="D4210" s="40" t="str">
        <f>VLOOKUP(B4210,辅助信息!E:K,7,FALSE)</f>
        <v>JWDDCD2025092400212</v>
      </c>
      <c r="E4210" s="40" t="str">
        <f>VLOOKUP(F4210,辅助信息!A:B,2,FALSE)</f>
        <v>螺纹钢</v>
      </c>
      <c r="F4210" s="40" t="s">
        <v>27</v>
      </c>
      <c r="G4210" s="36">
        <v>30</v>
      </c>
      <c r="H4210" s="134"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09">
        <f>VLOOKUP(B4210,辅助信息!E:J,6,FALSE)</f>
        <v>0</v>
      </c>
      <c r="M4210" s="91">
        <v>45941</v>
      </c>
      <c r="O4210" s="62">
        <f ca="1" t="shared" si="214"/>
        <v>0</v>
      </c>
      <c r="P4210" s="62">
        <f ca="1" t="shared" si="215"/>
        <v>19</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5" t="s">
        <v>229</v>
      </c>
      <c r="C4211" s="70">
        <v>45939</v>
      </c>
      <c r="D4211" s="40" t="str">
        <f>VLOOKUP(B4211,辅助信息!E:K,7,FALSE)</f>
        <v>JWDDCD2025092400212</v>
      </c>
      <c r="E4211" s="40" t="str">
        <f>VLOOKUP(F4211,辅助信息!A:B,2,FALSE)</f>
        <v>螺纹钢</v>
      </c>
      <c r="F4211" s="40" t="s">
        <v>19</v>
      </c>
      <c r="G4211" s="36">
        <v>6</v>
      </c>
      <c r="H4211" s="134"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09">
        <f>VLOOKUP(B4211,辅助信息!E:J,6,FALSE)</f>
        <v>0</v>
      </c>
      <c r="M4211" s="91">
        <v>45941</v>
      </c>
      <c r="O4211" s="62">
        <f ca="1" t="shared" si="214"/>
        <v>0</v>
      </c>
      <c r="P4211" s="62">
        <f ca="1" t="shared" si="215"/>
        <v>19</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5" t="s">
        <v>229</v>
      </c>
      <c r="C4212" s="70">
        <v>45939</v>
      </c>
      <c r="D4212" s="40" t="str">
        <f>VLOOKUP(B4212,辅助信息!E:K,7,FALSE)</f>
        <v>JWDDCD2025092400212</v>
      </c>
      <c r="E4212" s="40" t="str">
        <f>VLOOKUP(F4212,辅助信息!A:B,2,FALSE)</f>
        <v>螺纹钢</v>
      </c>
      <c r="F4212" s="40" t="s">
        <v>32</v>
      </c>
      <c r="G4212" s="36">
        <v>10</v>
      </c>
      <c r="H4212" s="134"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09">
        <f>VLOOKUP(B4212,辅助信息!E:J,6,FALSE)</f>
        <v>0</v>
      </c>
      <c r="M4212" s="91">
        <v>45941</v>
      </c>
      <c r="O4212" s="62">
        <f ca="1" t="shared" si="214"/>
        <v>0</v>
      </c>
      <c r="P4212" s="62">
        <f ca="1" t="shared" si="215"/>
        <v>19</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5" t="s">
        <v>229</v>
      </c>
      <c r="C4213" s="70">
        <v>45939</v>
      </c>
      <c r="D4213" s="40" t="str">
        <f>VLOOKUP(B4213,辅助信息!E:K,7,FALSE)</f>
        <v>JWDDCD2025092400212</v>
      </c>
      <c r="E4213" s="40" t="str">
        <f>VLOOKUP(F4213,辅助信息!A:B,2,FALSE)</f>
        <v>螺纹钢</v>
      </c>
      <c r="F4213" s="40" t="s">
        <v>30</v>
      </c>
      <c r="G4213" s="36">
        <v>14</v>
      </c>
      <c r="H4213" s="134"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09">
        <f>VLOOKUP(B4213,辅助信息!E:J,6,FALSE)</f>
        <v>0</v>
      </c>
      <c r="M4213" s="91">
        <v>45941</v>
      </c>
      <c r="O4213" s="62">
        <f ca="1" t="shared" si="214"/>
        <v>0</v>
      </c>
      <c r="P4213" s="62">
        <f ca="1" t="shared" si="215"/>
        <v>19</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5" t="s">
        <v>229</v>
      </c>
      <c r="C4214" s="70">
        <v>45939</v>
      </c>
      <c r="D4214" s="40" t="str">
        <f>VLOOKUP(B4214,辅助信息!E:K,7,FALSE)</f>
        <v>JWDDCD2025092400212</v>
      </c>
      <c r="E4214" s="40" t="str">
        <f>VLOOKUP(F4214,辅助信息!A:B,2,FALSE)</f>
        <v>螺纹钢</v>
      </c>
      <c r="F4214" s="40" t="s">
        <v>33</v>
      </c>
      <c r="G4214" s="36">
        <v>15</v>
      </c>
      <c r="H4214" s="134"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09">
        <f>VLOOKUP(B4214,辅助信息!E:J,6,FALSE)</f>
        <v>0</v>
      </c>
      <c r="M4214" s="91">
        <v>45941</v>
      </c>
      <c r="O4214" s="62">
        <f ca="1" t="shared" si="214"/>
        <v>0</v>
      </c>
      <c r="P4214" s="62">
        <f ca="1" t="shared" si="215"/>
        <v>19</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5" t="s">
        <v>229</v>
      </c>
      <c r="C4215" s="70">
        <v>45939</v>
      </c>
      <c r="D4215" s="40" t="str">
        <f>VLOOKUP(B4215,辅助信息!E:K,7,FALSE)</f>
        <v>JWDDCD2025092400212</v>
      </c>
      <c r="E4215" s="40" t="str">
        <f>VLOOKUP(F4215,辅助信息!A:B,2,FALSE)</f>
        <v>螺纹钢</v>
      </c>
      <c r="F4215" s="40" t="s">
        <v>28</v>
      </c>
      <c r="G4215" s="36">
        <v>8</v>
      </c>
      <c r="H4215" s="134"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09">
        <f>VLOOKUP(B4215,辅助信息!E:J,6,FALSE)</f>
        <v>0</v>
      </c>
      <c r="M4215" s="91">
        <v>45941</v>
      </c>
      <c r="O4215" s="62">
        <f ca="1" t="shared" si="214"/>
        <v>0</v>
      </c>
      <c r="P4215" s="62">
        <f ca="1" t="shared" si="215"/>
        <v>19</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5" t="s">
        <v>229</v>
      </c>
      <c r="C4216" s="70">
        <v>45939</v>
      </c>
      <c r="D4216" s="40" t="str">
        <f>VLOOKUP(B4216,辅助信息!E:K,7,FALSE)</f>
        <v>JWDDCD2025092400212</v>
      </c>
      <c r="E4216" s="40" t="str">
        <f>VLOOKUP(F4216,辅助信息!A:B,2,FALSE)</f>
        <v>螺纹钢</v>
      </c>
      <c r="F4216" s="40" t="s">
        <v>18</v>
      </c>
      <c r="G4216" s="36">
        <v>2</v>
      </c>
      <c r="H4216" s="134"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09">
        <f>VLOOKUP(B4216,辅助信息!E:J,6,FALSE)</f>
        <v>0</v>
      </c>
      <c r="M4216" s="91">
        <v>45941</v>
      </c>
      <c r="O4216" s="62">
        <f ca="1" t="shared" si="214"/>
        <v>0</v>
      </c>
      <c r="P4216" s="62">
        <f ca="1" t="shared" si="215"/>
        <v>19</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5" t="s">
        <v>228</v>
      </c>
      <c r="C4217" s="70">
        <v>45939</v>
      </c>
      <c r="D4217" s="40" t="str">
        <f>VLOOKUP(B4217,辅助信息!E:K,7,FALSE)</f>
        <v>JWDDCD2025092400190</v>
      </c>
      <c r="E4217" s="40" t="str">
        <f>VLOOKUP(F4217,辅助信息!A:B,2,FALSE)</f>
        <v>盘螺</v>
      </c>
      <c r="F4217" s="40" t="s">
        <v>40</v>
      </c>
      <c r="G4217" s="36">
        <v>18</v>
      </c>
      <c r="H4217" s="134"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09">
        <f>VLOOKUP(B4217,辅助信息!E:J,6,FALSE)</f>
        <v>0</v>
      </c>
      <c r="M4217" s="91">
        <v>45941</v>
      </c>
      <c r="O4217" s="62">
        <f ca="1" t="shared" si="214"/>
        <v>0</v>
      </c>
      <c r="P4217" s="62">
        <f ca="1" t="shared" si="215"/>
        <v>19</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5" t="s">
        <v>228</v>
      </c>
      <c r="C4218" s="70">
        <v>45939</v>
      </c>
      <c r="D4218" s="40" t="str">
        <f>VLOOKUP(B4218,辅助信息!E:K,7,FALSE)</f>
        <v>JWDDCD2025092400190</v>
      </c>
      <c r="E4218" s="40" t="str">
        <f>VLOOKUP(F4218,辅助信息!A:B,2,FALSE)</f>
        <v>盘螺</v>
      </c>
      <c r="F4218" s="40" t="s">
        <v>41</v>
      </c>
      <c r="G4218" s="36">
        <v>35</v>
      </c>
      <c r="H4218" s="134"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09">
        <f>VLOOKUP(B4218,辅助信息!E:J,6,FALSE)</f>
        <v>0</v>
      </c>
      <c r="M4218" s="91">
        <v>45941</v>
      </c>
      <c r="O4218" s="62">
        <f ca="1" t="shared" si="214"/>
        <v>0</v>
      </c>
      <c r="P4218" s="62">
        <f ca="1" t="shared" si="215"/>
        <v>19</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5" t="s">
        <v>228</v>
      </c>
      <c r="C4219" s="70">
        <v>45939</v>
      </c>
      <c r="D4219" s="40" t="str">
        <f>VLOOKUP(B4219,辅助信息!E:K,7,FALSE)</f>
        <v>JWDDCD2025092400190</v>
      </c>
      <c r="E4219" s="40" t="str">
        <f>VLOOKUP(F4219,辅助信息!A:B,2,FALSE)</f>
        <v>盘螺</v>
      </c>
      <c r="F4219" s="40" t="s">
        <v>26</v>
      </c>
      <c r="G4219" s="36">
        <v>17</v>
      </c>
      <c r="H4219" s="134"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09">
        <f>VLOOKUP(B4219,辅助信息!E:J,6,FALSE)</f>
        <v>0</v>
      </c>
      <c r="M4219" s="91">
        <v>45941</v>
      </c>
      <c r="O4219" s="62">
        <f ca="1" t="shared" si="214"/>
        <v>0</v>
      </c>
      <c r="P4219" s="62">
        <f ca="1" t="shared" si="215"/>
        <v>19</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5" t="s">
        <v>204</v>
      </c>
      <c r="C4220" s="143">
        <v>45939</v>
      </c>
      <c r="D4220" s="135" t="str">
        <f>VLOOKUP(B4220,辅助信息!E:K,7,FALSE)</f>
        <v>JWDDCD2025062200016</v>
      </c>
      <c r="E4220" s="135" t="str">
        <f>VLOOKUP(F4220,辅助信息!A:B,2,FALSE)</f>
        <v>螺纹钢</v>
      </c>
      <c r="F4220" s="135" t="s">
        <v>130</v>
      </c>
      <c r="G4220" s="146">
        <v>41</v>
      </c>
      <c r="H4220" s="134">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09" t="str">
        <f>VLOOKUP(B4220,辅助信息!E:J,6,FALSE)</f>
        <v>锈货不收！！下雨天钢筋没盖篷布不收！！，装货前联系收货人核实到场规格,没提前告知进场规格现场不给予接收</v>
      </c>
      <c r="M4220" s="91">
        <v>45941</v>
      </c>
      <c r="O4220" s="62">
        <f ca="1" t="shared" si="214"/>
        <v>0</v>
      </c>
      <c r="P4220" s="62">
        <f ca="1" t="shared" si="215"/>
        <v>19</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5" t="s">
        <v>204</v>
      </c>
      <c r="C4221" s="143">
        <v>45939</v>
      </c>
      <c r="D4221" s="135" t="str">
        <f>VLOOKUP(B4221,辅助信息!E:K,7,FALSE)</f>
        <v>JWDDCD2025062200016</v>
      </c>
      <c r="E4221" s="135" t="str">
        <f>VLOOKUP(F4221,辅助信息!A:B,2,FALSE)</f>
        <v>螺纹钢</v>
      </c>
      <c r="F4221" s="135" t="s">
        <v>28</v>
      </c>
      <c r="G4221" s="146">
        <v>3</v>
      </c>
      <c r="H4221" s="134">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09" t="str">
        <f>VLOOKUP(B4221,辅助信息!E:J,6,FALSE)</f>
        <v>锈货不收！！下雨天钢筋没盖篷布不收！！，装货前联系收货人核实到场规格,没提前告知进场规格现场不给予接收</v>
      </c>
      <c r="M4221" s="91">
        <v>45941</v>
      </c>
      <c r="O4221" s="62">
        <f ca="1" t="shared" si="214"/>
        <v>0</v>
      </c>
      <c r="P4221" s="62">
        <f ca="1" t="shared" si="215"/>
        <v>19</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5" t="s">
        <v>177</v>
      </c>
      <c r="C4222" s="70">
        <v>45939</v>
      </c>
      <c r="D4222" s="40" t="str">
        <f>VLOOKUP(B4222,辅助信息!E:K,7,FALSE)</f>
        <v>JWDDCD2025062200016</v>
      </c>
      <c r="E4222" s="40" t="str">
        <f>VLOOKUP(F4222,辅助信息!A:B,2,FALSE)</f>
        <v>螺纹钢</v>
      </c>
      <c r="F4222" s="40" t="s">
        <v>30</v>
      </c>
      <c r="G4222" s="36">
        <v>19</v>
      </c>
      <c r="H4222" s="134"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09" t="str">
        <f>VLOOKUP(B4222,辅助信息!E:J,6,FALSE)</f>
        <v>锈货不收！！下雨天钢筋没盖篷布不收！！，装货前联系收货人核实到场规格,没提前告知进场规格现场不给予接收</v>
      </c>
      <c r="M4222" s="91">
        <v>45941</v>
      </c>
      <c r="O4222" s="62">
        <f ca="1" t="shared" si="214"/>
        <v>0</v>
      </c>
      <c r="P4222" s="62">
        <f ca="1" t="shared" si="215"/>
        <v>19</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5" t="s">
        <v>177</v>
      </c>
      <c r="C4223" s="70">
        <v>45939</v>
      </c>
      <c r="D4223" s="40" t="str">
        <f>VLOOKUP(B4223,辅助信息!E:K,7,FALSE)</f>
        <v>JWDDCD2025062200016</v>
      </c>
      <c r="E4223" s="40" t="str">
        <f>VLOOKUP(F4223,辅助信息!A:B,2,FALSE)</f>
        <v>螺纹钢</v>
      </c>
      <c r="F4223" s="40" t="s">
        <v>33</v>
      </c>
      <c r="G4223" s="36">
        <v>8</v>
      </c>
      <c r="H4223" s="134"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09" t="str">
        <f>VLOOKUP(B4223,辅助信息!E:J,6,FALSE)</f>
        <v>锈货不收！！下雨天钢筋没盖篷布不收！！，装货前联系收货人核实到场规格,没提前告知进场规格现场不给予接收</v>
      </c>
      <c r="M4223" s="91">
        <v>45941</v>
      </c>
      <c r="O4223" s="62">
        <f ca="1" t="shared" si="214"/>
        <v>0</v>
      </c>
      <c r="P4223" s="62">
        <f ca="1" t="shared" si="215"/>
        <v>19</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5" t="s">
        <v>177</v>
      </c>
      <c r="C4224" s="70">
        <v>45939</v>
      </c>
      <c r="D4224" s="40" t="str">
        <f>VLOOKUP(B4224,辅助信息!E:K,7,FALSE)</f>
        <v>JWDDCD2025062200016</v>
      </c>
      <c r="E4224" s="40" t="str">
        <f>VLOOKUP(F4224,辅助信息!A:B,2,FALSE)</f>
        <v>螺纹钢</v>
      </c>
      <c r="F4224" s="40" t="s">
        <v>18</v>
      </c>
      <c r="G4224" s="36">
        <v>8</v>
      </c>
      <c r="H4224" s="134"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09" t="str">
        <f>VLOOKUP(B4224,辅助信息!E:J,6,FALSE)</f>
        <v>锈货不收！！下雨天钢筋没盖篷布不收！！，装货前联系收货人核实到场规格,没提前告知进场规格现场不给予接收</v>
      </c>
      <c r="M4224" s="91">
        <v>45941</v>
      </c>
      <c r="O4224" s="62">
        <f ca="1" t="shared" si="214"/>
        <v>0</v>
      </c>
      <c r="P4224" s="62">
        <f ca="1" t="shared" si="215"/>
        <v>19</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5" t="s">
        <v>203</v>
      </c>
      <c r="C4225" s="70">
        <v>45939</v>
      </c>
      <c r="D4225" s="40" t="str">
        <f>VLOOKUP(B4225,辅助信息!E:K,7,FALSE)</f>
        <v>JWDDCD2025102100479</v>
      </c>
      <c r="E4225" s="40" t="str">
        <f>VLOOKUP(F4225,辅助信息!A:B,2,FALSE)</f>
        <v>盘螺</v>
      </c>
      <c r="F4225" s="40" t="s">
        <v>40</v>
      </c>
      <c r="G4225" s="36">
        <v>5</v>
      </c>
      <c r="H4225" s="134">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09"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1">
        <v>45941</v>
      </c>
      <c r="O4225" s="62">
        <f ca="1" t="shared" si="214"/>
        <v>0</v>
      </c>
      <c r="P4225" s="62">
        <f ca="1" t="shared" si="215"/>
        <v>19</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5" t="s">
        <v>203</v>
      </c>
      <c r="C4226" s="70">
        <v>45939</v>
      </c>
      <c r="D4226" s="40" t="str">
        <f>VLOOKUP(B4226,辅助信息!E:K,7,FALSE)</f>
        <v>JWDDCD2025102100479</v>
      </c>
      <c r="E4226" s="40" t="str">
        <f>VLOOKUP(F4226,辅助信息!A:B,2,FALSE)</f>
        <v>盘螺</v>
      </c>
      <c r="F4226" s="40" t="s">
        <v>41</v>
      </c>
      <c r="G4226" s="36">
        <v>14</v>
      </c>
      <c r="H4226" s="134">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09"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1">
        <v>45941</v>
      </c>
      <c r="O4226" s="62">
        <f ca="1" t="shared" si="214"/>
        <v>0</v>
      </c>
      <c r="P4226" s="62">
        <f ca="1" t="shared" si="215"/>
        <v>19</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5" t="s">
        <v>203</v>
      </c>
      <c r="C4227" s="70">
        <v>45939</v>
      </c>
      <c r="D4227" s="40" t="str">
        <f>VLOOKUP(B4227,辅助信息!E:K,7,FALSE)</f>
        <v>JWDDCD2025102100479</v>
      </c>
      <c r="E4227" s="40" t="str">
        <f>VLOOKUP(F4227,辅助信息!A:B,2,FALSE)</f>
        <v>螺纹钢</v>
      </c>
      <c r="F4227" s="40" t="s">
        <v>66</v>
      </c>
      <c r="G4227" s="36">
        <v>17</v>
      </c>
      <c r="H4227" s="134">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09"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1">
        <v>45941</v>
      </c>
      <c r="O4227" s="62">
        <f ca="1" t="shared" si="214"/>
        <v>0</v>
      </c>
      <c r="P4227" s="62">
        <f ca="1" t="shared" si="215"/>
        <v>19</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1" t="s">
        <v>235</v>
      </c>
      <c r="B4228" s="135" t="s">
        <v>169</v>
      </c>
      <c r="C4228" s="70">
        <v>45939</v>
      </c>
      <c r="D4228" s="40" t="str">
        <f>VLOOKUP(B4228,辅助信息!E:K,7,FALSE)</f>
        <v>JWDDCD2025051800044</v>
      </c>
      <c r="E4228" s="40" t="str">
        <f>VLOOKUP(F4228,辅助信息!A:B,2,FALSE)</f>
        <v>高线</v>
      </c>
      <c r="F4228" s="40" t="s">
        <v>51</v>
      </c>
      <c r="G4228" s="36">
        <v>32</v>
      </c>
      <c r="H4228" s="134"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09"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1">
        <v>45941</v>
      </c>
      <c r="O4228" s="62">
        <f ca="1" t="shared" si="214"/>
        <v>0</v>
      </c>
      <c r="P4228" s="62">
        <f ca="1" t="shared" si="215"/>
        <v>19</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1" t="s">
        <v>236</v>
      </c>
      <c r="B4229" s="135" t="s">
        <v>169</v>
      </c>
      <c r="C4229" s="70">
        <v>45939</v>
      </c>
      <c r="D4229" s="40" t="str">
        <f>VLOOKUP(B4229,辅助信息!E:K,7,FALSE)</f>
        <v>JWDDCD2025051800044</v>
      </c>
      <c r="E4229" s="40" t="str">
        <f>VLOOKUP(F4229,辅助信息!A:B,2,FALSE)</f>
        <v>螺纹钢</v>
      </c>
      <c r="F4229" s="40" t="s">
        <v>28</v>
      </c>
      <c r="G4229" s="36">
        <v>35</v>
      </c>
      <c r="H4229" s="134"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09"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1">
        <v>45941</v>
      </c>
      <c r="O4229" s="62">
        <f ca="1" t="shared" si="214"/>
        <v>0</v>
      </c>
      <c r="P4229" s="62">
        <f ca="1" t="shared" si="215"/>
        <v>19</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1" t="s">
        <v>237</v>
      </c>
      <c r="B4230" s="135" t="s">
        <v>169</v>
      </c>
      <c r="C4230" s="70">
        <v>45939</v>
      </c>
      <c r="D4230" s="40" t="str">
        <f>VLOOKUP(B4230,辅助信息!E:K,7,FALSE)</f>
        <v>JWDDCD2025051800044</v>
      </c>
      <c r="E4230" s="40" t="str">
        <f>VLOOKUP(F4230,辅助信息!A:B,2,FALSE)</f>
        <v>螺纹钢</v>
      </c>
      <c r="F4230" s="40" t="s">
        <v>28</v>
      </c>
      <c r="G4230" s="36">
        <v>35</v>
      </c>
      <c r="H4230" s="134"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09"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1">
        <v>45941</v>
      </c>
      <c r="O4230" s="62">
        <f ca="1" t="shared" si="214"/>
        <v>0</v>
      </c>
      <c r="P4230" s="62">
        <f ca="1" t="shared" si="215"/>
        <v>19</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5" t="s">
        <v>192</v>
      </c>
      <c r="C4231" s="70">
        <v>45939</v>
      </c>
      <c r="D4231" s="40" t="str">
        <f>VLOOKUP(B4231,辅助信息!E:K,7,FALSE)</f>
        <v>JWDDCD2025102100475</v>
      </c>
      <c r="E4231" s="40" t="str">
        <f>VLOOKUP(F4231,辅助信息!A:B,2,FALSE)</f>
        <v>盘螺</v>
      </c>
      <c r="F4231" s="40" t="s">
        <v>40</v>
      </c>
      <c r="G4231" s="36">
        <v>12.5</v>
      </c>
      <c r="H4231" s="134"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09"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1">
        <v>45941</v>
      </c>
      <c r="O4231" s="62">
        <f ca="1" t="shared" si="214"/>
        <v>0</v>
      </c>
      <c r="P4231" s="62">
        <f ca="1" t="shared" si="215"/>
        <v>19</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5" t="s">
        <v>192</v>
      </c>
      <c r="C4232" s="70">
        <v>45939</v>
      </c>
      <c r="D4232" s="40" t="str">
        <f>VLOOKUP(B4232,辅助信息!E:K,7,FALSE)</f>
        <v>JWDDCD2025102100475</v>
      </c>
      <c r="E4232" s="40" t="str">
        <f>VLOOKUP(F4232,辅助信息!A:B,2,FALSE)</f>
        <v>盘螺</v>
      </c>
      <c r="F4232" s="40" t="s">
        <v>26</v>
      </c>
      <c r="G4232" s="36">
        <v>12.5</v>
      </c>
      <c r="H4232" s="134"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09"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1">
        <v>45941</v>
      </c>
      <c r="O4232" s="62">
        <f ca="1" t="shared" si="214"/>
        <v>0</v>
      </c>
      <c r="P4232" s="62">
        <f ca="1" t="shared" si="215"/>
        <v>19</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5" t="s">
        <v>192</v>
      </c>
      <c r="C4233" s="70">
        <v>45939</v>
      </c>
      <c r="D4233" s="40" t="str">
        <f>VLOOKUP(B4233,辅助信息!E:K,7,FALSE)</f>
        <v>JWDDCD2025102100475</v>
      </c>
      <c r="E4233" s="40" t="str">
        <f>VLOOKUP(F4233,辅助信息!A:B,2,FALSE)</f>
        <v>螺纹钢</v>
      </c>
      <c r="F4233" s="40" t="s">
        <v>65</v>
      </c>
      <c r="G4233" s="36">
        <v>10</v>
      </c>
      <c r="H4233" s="134"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09"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1">
        <v>45941</v>
      </c>
      <c r="O4233" s="62">
        <f ca="1" t="shared" si="214"/>
        <v>0</v>
      </c>
      <c r="P4233" s="62">
        <f ca="1" t="shared" si="215"/>
        <v>19</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5" t="s">
        <v>231</v>
      </c>
      <c r="C4234" s="70">
        <v>45939</v>
      </c>
      <c r="D4234" s="40" t="str">
        <f>VLOOKUP(B4234,辅助信息!E:K,7,FALSE)</f>
        <v>JWDDCD2025102100481</v>
      </c>
      <c r="E4234" s="40" t="str">
        <f>VLOOKUP(F4234,辅助信息!A:B,2,FALSE)</f>
        <v>盘螺</v>
      </c>
      <c r="F4234" s="40" t="s">
        <v>40</v>
      </c>
      <c r="G4234" s="36">
        <v>2</v>
      </c>
      <c r="H4234" s="134"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09" t="str">
        <f>VLOOKUP(B4234,辅助信息!E:J,6,FALSE)</f>
        <v>联系实际收货人（易前刚18228465067）五冶建设送货单,6份材质书,锈货不收，装货前联系收货人核实到场规格,没提前告知进场规格现场不给予接收</v>
      </c>
      <c r="O4234" s="62" t="str">
        <f ca="1" t="shared" si="214"/>
        <v/>
      </c>
      <c r="P4234" s="62"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5" t="s">
        <v>231</v>
      </c>
      <c r="C4235" s="70">
        <v>45939</v>
      </c>
      <c r="D4235" s="40" t="str">
        <f>VLOOKUP(B4235,辅助信息!E:K,7,FALSE)</f>
        <v>JWDDCD2025102100481</v>
      </c>
      <c r="E4235" s="40" t="str">
        <f>VLOOKUP(F4235,辅助信息!A:B,2,FALSE)</f>
        <v>盘螺</v>
      </c>
      <c r="F4235" s="40" t="s">
        <v>26</v>
      </c>
      <c r="G4235" s="36">
        <v>12</v>
      </c>
      <c r="H4235" s="134"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09" t="str">
        <f>VLOOKUP(B4235,辅助信息!E:J,6,FALSE)</f>
        <v>联系实际收货人（易前刚18228465067）五冶建设送货单,6份材质书,锈货不收，装货前联系收货人核实到场规格,没提前告知进场规格现场不给予接收</v>
      </c>
      <c r="O4235" s="62" t="str">
        <f ca="1" t="shared" si="214"/>
        <v/>
      </c>
      <c r="P4235" s="62"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5" t="s">
        <v>231</v>
      </c>
      <c r="C4236" s="70">
        <v>45939</v>
      </c>
      <c r="D4236" s="40" t="str">
        <f>VLOOKUP(B4236,辅助信息!E:K,7,FALSE)</f>
        <v>JWDDCD2025102100481</v>
      </c>
      <c r="E4236" s="40" t="str">
        <f>VLOOKUP(F4236,辅助信息!A:B,2,FALSE)</f>
        <v>螺纹钢</v>
      </c>
      <c r="F4236" s="40" t="s">
        <v>30</v>
      </c>
      <c r="G4236" s="36">
        <v>3</v>
      </c>
      <c r="H4236" s="134"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09" t="str">
        <f>VLOOKUP(B4236,辅助信息!E:J,6,FALSE)</f>
        <v>联系实际收货人（易前刚18228465067）五冶建设送货单,6份材质书,锈货不收，装货前联系收货人核实到场规格,没提前告知进场规格现场不给予接收</v>
      </c>
      <c r="O4236" s="62" t="str">
        <f ca="1" t="shared" si="214"/>
        <v/>
      </c>
      <c r="P4236" s="62"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5" t="s">
        <v>231</v>
      </c>
      <c r="C4237" s="70">
        <v>45939</v>
      </c>
      <c r="D4237" s="40" t="str">
        <f>VLOOKUP(B4237,辅助信息!E:K,7,FALSE)</f>
        <v>JWDDCD2025102100481</v>
      </c>
      <c r="E4237" s="40" t="str">
        <f>VLOOKUP(F4237,辅助信息!A:B,2,FALSE)</f>
        <v>螺纹钢</v>
      </c>
      <c r="F4237" s="40" t="s">
        <v>28</v>
      </c>
      <c r="G4237" s="36">
        <v>6</v>
      </c>
      <c r="H4237" s="134"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09" t="str">
        <f>VLOOKUP(B4237,辅助信息!E:J,6,FALSE)</f>
        <v>联系实际收货人（易前刚18228465067）五冶建设送货单,6份材质书,锈货不收，装货前联系收货人核实到场规格,没提前告知进场规格现场不给予接收</v>
      </c>
      <c r="O4237" s="62" t="str">
        <f ca="1" t="shared" si="214"/>
        <v/>
      </c>
      <c r="P4237" s="62"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5" t="s">
        <v>231</v>
      </c>
      <c r="C4238" s="70">
        <v>45939</v>
      </c>
      <c r="D4238" s="40" t="str">
        <f>VLOOKUP(B4238,辅助信息!E:K,7,FALSE)</f>
        <v>JWDDCD2025102100481</v>
      </c>
      <c r="E4238" s="40" t="str">
        <f>VLOOKUP(F4238,辅助信息!A:B,2,FALSE)</f>
        <v>螺纹钢</v>
      </c>
      <c r="F4238" s="40" t="s">
        <v>65</v>
      </c>
      <c r="G4238" s="36">
        <v>12</v>
      </c>
      <c r="H4238" s="134"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09" t="str">
        <f>VLOOKUP(B4238,辅助信息!E:J,6,FALSE)</f>
        <v>联系实际收货人（易前刚18228465067）五冶建设送货单,6份材质书,锈货不收，装货前联系收货人核实到场规格,没提前告知进场规格现场不给予接收</v>
      </c>
      <c r="O4238" s="62" t="str">
        <f ca="1" t="shared" si="214"/>
        <v/>
      </c>
      <c r="P4238" s="62"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5" t="s">
        <v>112</v>
      </c>
      <c r="C4239" s="70">
        <v>45939</v>
      </c>
      <c r="D4239" s="40" t="str">
        <f>VLOOKUP(B4239,辅助信息!E:K,7,FALSE)</f>
        <v>JWDDCD2025052800131</v>
      </c>
      <c r="E4239" s="40" t="str">
        <f>VLOOKUP(F4239,辅助信息!A:B,2,FALSE)</f>
        <v>盘螺</v>
      </c>
      <c r="F4239" s="40" t="s">
        <v>49</v>
      </c>
      <c r="G4239" s="36">
        <v>12</v>
      </c>
      <c r="H4239" s="134"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09" t="str">
        <f>VLOOKUP(B4239,辅助信息!E:J,6,FALSE)</f>
        <v>控制炉批号！多了现场不收！,优先安排达钢,提前联系到场规格及数量</v>
      </c>
      <c r="O4239" s="62" t="str">
        <f ca="1" t="shared" si="214"/>
        <v/>
      </c>
      <c r="P4239" s="62"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5" t="s">
        <v>112</v>
      </c>
      <c r="C4240" s="70">
        <v>45939</v>
      </c>
      <c r="D4240" s="40" t="str">
        <f>VLOOKUP(B4240,辅助信息!E:K,7,FALSE)</f>
        <v>JWDDCD2025052800131</v>
      </c>
      <c r="E4240" s="40" t="str">
        <f>VLOOKUP(F4240,辅助信息!A:B,2,FALSE)</f>
        <v>盘螺</v>
      </c>
      <c r="F4240" s="40" t="s">
        <v>40</v>
      </c>
      <c r="G4240" s="36">
        <v>24</v>
      </c>
      <c r="H4240" s="134"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09" t="str">
        <f>VLOOKUP(B4240,辅助信息!E:J,6,FALSE)</f>
        <v>控制炉批号！多了现场不收！,优先安排达钢,提前联系到场规格及数量</v>
      </c>
      <c r="O4240" s="62" t="str">
        <f ca="1" t="shared" si="214"/>
        <v/>
      </c>
      <c r="P4240" s="62"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5" t="s">
        <v>112</v>
      </c>
      <c r="C4241" s="70">
        <v>45939</v>
      </c>
      <c r="D4241" s="40" t="str">
        <f>VLOOKUP(B4241,辅助信息!E:K,7,FALSE)</f>
        <v>JWDDCD2025052800131</v>
      </c>
      <c r="E4241" s="40" t="str">
        <f>VLOOKUP(F4241,辅助信息!A:B,2,FALSE)</f>
        <v>螺纹钢</v>
      </c>
      <c r="F4241" s="40" t="s">
        <v>32</v>
      </c>
      <c r="G4241" s="36">
        <v>3</v>
      </c>
      <c r="H4241" s="134"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09" t="str">
        <f>VLOOKUP(B4241,辅助信息!E:J,6,FALSE)</f>
        <v>控制炉批号！多了现场不收！,优先安排达钢,提前联系到场规格及数量</v>
      </c>
      <c r="O4241" s="62" t="str">
        <f ca="1" t="shared" si="214"/>
        <v/>
      </c>
      <c r="P4241" s="62"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5" t="s">
        <v>112</v>
      </c>
      <c r="C4242" s="70">
        <v>45939</v>
      </c>
      <c r="D4242" s="40" t="str">
        <f>VLOOKUP(B4242,辅助信息!E:K,7,FALSE)</f>
        <v>JWDDCD2025052800131</v>
      </c>
      <c r="E4242" s="40" t="str">
        <f>VLOOKUP(F4242,辅助信息!A:B,2,FALSE)</f>
        <v>螺纹钢</v>
      </c>
      <c r="F4242" s="40" t="s">
        <v>18</v>
      </c>
      <c r="G4242" s="36">
        <v>12</v>
      </c>
      <c r="H4242" s="134"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09" t="str">
        <f>VLOOKUP(B4242,辅助信息!E:J,6,FALSE)</f>
        <v>控制炉批号！多了现场不收！,优先安排达钢,提前联系到场规格及数量</v>
      </c>
      <c r="O4242" s="62" t="str">
        <f ca="1" t="shared" si="214"/>
        <v/>
      </c>
      <c r="P4242" s="62"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5" t="s">
        <v>112</v>
      </c>
      <c r="C4243" s="70">
        <v>45939</v>
      </c>
      <c r="D4243" s="40" t="str">
        <f>VLOOKUP(B4243,辅助信息!E:K,7,FALSE)</f>
        <v>JWDDCD2025052800131</v>
      </c>
      <c r="E4243" s="40" t="str">
        <f>VLOOKUP(F4243,辅助信息!A:B,2,FALSE)</f>
        <v>螺纹钢</v>
      </c>
      <c r="F4243" s="40" t="s">
        <v>21</v>
      </c>
      <c r="G4243" s="36">
        <v>12</v>
      </c>
      <c r="H4243" s="134"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09" t="str">
        <f>VLOOKUP(B4243,辅助信息!E:J,6,FALSE)</f>
        <v>控制炉批号！多了现场不收！,优先安排达钢,提前联系到场规格及数量</v>
      </c>
      <c r="O4243" s="62" t="str">
        <f ca="1" t="shared" si="214"/>
        <v/>
      </c>
      <c r="P4243" s="62"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5" t="s">
        <v>112</v>
      </c>
      <c r="C4244" s="70">
        <v>45939</v>
      </c>
      <c r="D4244" s="40" t="str">
        <f>VLOOKUP(B4244,辅助信息!E:K,7,FALSE)</f>
        <v>JWDDCD2025052800131</v>
      </c>
      <c r="E4244" s="40" t="str">
        <f>VLOOKUP(F4244,辅助信息!A:B,2,FALSE)</f>
        <v>螺纹钢</v>
      </c>
      <c r="F4244" s="40" t="s">
        <v>58</v>
      </c>
      <c r="G4244" s="36">
        <v>12</v>
      </c>
      <c r="H4244" s="134"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09" t="str">
        <f>VLOOKUP(B4244,辅助信息!E:J,6,FALSE)</f>
        <v>控制炉批号！多了现场不收！,优先安排达钢,提前联系到场规格及数量</v>
      </c>
      <c r="O4244" s="62" t="str">
        <f ca="1" t="shared" si="214"/>
        <v/>
      </c>
      <c r="P4244" s="62"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5" t="s">
        <v>112</v>
      </c>
      <c r="C4245" s="70">
        <v>45939</v>
      </c>
      <c r="D4245" s="40" t="str">
        <f>VLOOKUP(B4245,辅助信息!E:K,7,FALSE)</f>
        <v>JWDDCD2025052800131</v>
      </c>
      <c r="E4245" s="40" t="str">
        <f>VLOOKUP(F4245,辅助信息!A:B,2,FALSE)</f>
        <v>螺纹钢</v>
      </c>
      <c r="F4245" s="40" t="s">
        <v>22</v>
      </c>
      <c r="G4245" s="36">
        <v>21</v>
      </c>
      <c r="H4245" s="134"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09" t="str">
        <f>VLOOKUP(B4245,辅助信息!E:J,6,FALSE)</f>
        <v>控制炉批号！多了现场不收！,优先安排达钢,提前联系到场规格及数量</v>
      </c>
      <c r="O4245" s="62" t="str">
        <f ca="1" t="shared" si="214"/>
        <v/>
      </c>
      <c r="P4245" s="62"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29"/>
      <c r="B4246" s="136" t="s">
        <v>231</v>
      </c>
      <c r="C4246" s="70">
        <v>45940</v>
      </c>
      <c r="D4246" s="120" t="str">
        <f>VLOOKUP(B4246,辅助信息!E:K,7,FALSE)</f>
        <v>JWDDCD2025102100481</v>
      </c>
      <c r="E4246" s="120" t="str">
        <f>VLOOKUP(F4246,辅助信息!A:B,2,FALSE)</f>
        <v>螺纹钢</v>
      </c>
      <c r="F4246" s="120" t="s">
        <v>32</v>
      </c>
      <c r="G4246" s="121">
        <v>3</v>
      </c>
      <c r="H4246" s="134">
        <v>3</v>
      </c>
      <c r="I4246" s="120" t="str">
        <f>VLOOKUP(B4246,辅助信息!E:I,3,FALSE)</f>
        <v>(五冶建设成都盐道街中学初中部改扩建工程-一标)四川省成都市锦江区春熙路街道盐道街4号（盐道街中学初中部）</v>
      </c>
      <c r="J4246" s="120" t="str">
        <f>VLOOKUP(B4246,辅助信息!E:I,4,FALSE)</f>
        <v>谢鑫</v>
      </c>
      <c r="K4246" s="120">
        <f>VLOOKUP(J4246,辅助信息!H:I,2,FALSE)</f>
        <v>18228465067</v>
      </c>
      <c r="L4246" s="122" t="str">
        <f>VLOOKUP(B4246,辅助信息!E:J,6,FALSE)</f>
        <v>联系实际收货人（易前刚18228465067）五冶建设送货单,6份材质书,锈货不收，装货前联系收货人核实到场规格,没提前告知进场规格现场不给予接收</v>
      </c>
      <c r="O4246" s="62" t="str">
        <f ca="1" t="shared" si="214"/>
        <v/>
      </c>
      <c r="P4246" s="62"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29"/>
      <c r="B4247" s="136" t="s">
        <v>231</v>
      </c>
      <c r="C4247" s="70">
        <v>45940</v>
      </c>
      <c r="D4247" s="120" t="str">
        <f>VLOOKUP(B4247,辅助信息!E:K,7,FALSE)</f>
        <v>JWDDCD2025102100481</v>
      </c>
      <c r="E4247" s="120" t="str">
        <f>VLOOKUP(F4247,辅助信息!A:B,2,FALSE)</f>
        <v>螺纹钢</v>
      </c>
      <c r="F4247" s="120" t="s">
        <v>28</v>
      </c>
      <c r="G4247" s="121">
        <v>22</v>
      </c>
      <c r="H4247" s="134">
        <v>22</v>
      </c>
      <c r="I4247" s="120" t="str">
        <f>VLOOKUP(B4247,辅助信息!E:I,3,FALSE)</f>
        <v>(五冶建设成都盐道街中学初中部改扩建工程-一标)四川省成都市锦江区春熙路街道盐道街4号（盐道街中学初中部）</v>
      </c>
      <c r="J4247" s="120" t="str">
        <f>VLOOKUP(B4247,辅助信息!E:I,4,FALSE)</f>
        <v>谢鑫</v>
      </c>
      <c r="K4247" s="120">
        <f>VLOOKUP(J4247,辅助信息!H:I,2,FALSE)</f>
        <v>18228465067</v>
      </c>
      <c r="L4247" s="122" t="str">
        <f>VLOOKUP(B4247,辅助信息!E:J,6,FALSE)</f>
        <v>联系实际收货人（易前刚18228465067）五冶建设送货单,6份材质书,锈货不收，装货前联系收货人核实到场规格,没提前告知进场规格现场不给予接收</v>
      </c>
      <c r="O4247" s="62" t="str">
        <f ca="1" t="shared" si="214"/>
        <v/>
      </c>
      <c r="P4247" s="62"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29"/>
      <c r="B4248" s="136" t="s">
        <v>231</v>
      </c>
      <c r="C4248" s="70">
        <v>45940</v>
      </c>
      <c r="D4248" s="120" t="str">
        <f>VLOOKUP(B4248,辅助信息!E:K,7,FALSE)</f>
        <v>JWDDCD2025102100481</v>
      </c>
      <c r="E4248" s="120" t="str">
        <f>VLOOKUP(F4248,辅助信息!A:B,2,FALSE)</f>
        <v>螺纹钢</v>
      </c>
      <c r="F4248" s="120" t="s">
        <v>65</v>
      </c>
      <c r="G4248" s="121">
        <v>10</v>
      </c>
      <c r="H4248" s="134">
        <v>10</v>
      </c>
      <c r="I4248" s="120" t="str">
        <f>VLOOKUP(B4248,辅助信息!E:I,3,FALSE)</f>
        <v>(五冶建设成都盐道街中学初中部改扩建工程-一标)四川省成都市锦江区春熙路街道盐道街4号（盐道街中学初中部）</v>
      </c>
      <c r="J4248" s="120" t="str">
        <f>VLOOKUP(B4248,辅助信息!E:I,4,FALSE)</f>
        <v>谢鑫</v>
      </c>
      <c r="K4248" s="120">
        <f>VLOOKUP(J4248,辅助信息!H:I,2,FALSE)</f>
        <v>18228465067</v>
      </c>
      <c r="L4248" s="122" t="str">
        <f>VLOOKUP(B4248,辅助信息!E:J,6,FALSE)</f>
        <v>联系实际收货人（易前刚18228465067）五冶建设送货单,6份材质书,锈货不收，装货前联系收货人核实到场规格,没提前告知进场规格现场不给予接收</v>
      </c>
      <c r="O4248" s="62" t="str">
        <f ca="1" t="shared" si="214"/>
        <v/>
      </c>
      <c r="P4248" s="62"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8" t="s">
        <v>233</v>
      </c>
      <c r="B4249" s="136" t="s">
        <v>196</v>
      </c>
      <c r="C4249" s="70">
        <v>45940</v>
      </c>
      <c r="D4249" s="120" t="str">
        <f>VLOOKUP(B4249,辅助信息!E:K,7,FALSE)</f>
        <v>JWDDCD2025102100476</v>
      </c>
      <c r="E4249" s="120" t="str">
        <f>VLOOKUP(F4249,辅助信息!A:B,2,FALSE)</f>
        <v>螺纹钢</v>
      </c>
      <c r="F4249" s="120" t="s">
        <v>27</v>
      </c>
      <c r="G4249" s="121">
        <v>30</v>
      </c>
      <c r="H4249" s="134">
        <f>IF(SUMIFS('[1]2025年已发货'!$E:$E,'[1]2025年已发货'!$F:$F,C4249,'[1]2025年已发货'!$C:$C,F4249,'[1]2025年已发货'!$G:$G,I4249,'[1]2025年已发货'!$H:$H,J4249)=0,"未发货",SUMIFS('[1]2025年已发货'!$E:$E,'[1]2025年已发货'!$F:$F,C4249,'[1]2025年已发货'!$C:$C,F4249,'[1]2025年已发货'!$G:$G,I4249,'[1]2025年已发货'!$H:$H,J4249))</f>
        <v>30</v>
      </c>
      <c r="I4249" s="120" t="str">
        <f>VLOOKUP(B4249,辅助信息!E:I,3,FALSE)</f>
        <v>(五冶建设师大附中外语校新建教学楼工程)四川省成都市成华区大观堰2号(四川师范大学附属中学外国语学校)</v>
      </c>
      <c r="J4249" s="120" t="str">
        <f>VLOOKUP(B4249,辅助信息!E:I,4,FALSE)</f>
        <v>蔡浩</v>
      </c>
      <c r="K4249" s="120">
        <f>VLOOKUP(J4249,辅助信息!H:I,2,FALSE)</f>
        <v>13980880820</v>
      </c>
      <c r="L4249" s="122"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1">
        <v>45940</v>
      </c>
      <c r="O4249" s="62">
        <f ca="1" t="shared" si="214"/>
        <v>0</v>
      </c>
      <c r="P4249" s="62">
        <f ca="1" t="shared" si="215"/>
        <v>20</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8"/>
      <c r="B4250" s="136" t="s">
        <v>196</v>
      </c>
      <c r="C4250" s="70">
        <v>45940</v>
      </c>
      <c r="D4250" s="120" t="str">
        <f>VLOOKUP(B4250,辅助信息!E:K,7,FALSE)</f>
        <v>JWDDCD2025102100476</v>
      </c>
      <c r="E4250" s="120" t="str">
        <f>VLOOKUP(F4250,辅助信息!A:B,2,FALSE)</f>
        <v>螺纹钢</v>
      </c>
      <c r="F4250" s="120" t="s">
        <v>66</v>
      </c>
      <c r="G4250" s="121">
        <v>5</v>
      </c>
      <c r="H4250" s="134">
        <f>IF(SUMIFS('[1]2025年已发货'!$E:$E,'[1]2025年已发货'!$F:$F,C4250,'[1]2025年已发货'!$C:$C,F4250,'[1]2025年已发货'!$G:$G,I4250,'[1]2025年已发货'!$H:$H,J4250)=0,"未发货",SUMIFS('[1]2025年已发货'!$E:$E,'[1]2025年已发货'!$F:$F,C4250,'[1]2025年已发货'!$C:$C,F4250,'[1]2025年已发货'!$G:$G,I4250,'[1]2025年已发货'!$H:$H,J4250))</f>
        <v>5</v>
      </c>
      <c r="I4250" s="120" t="str">
        <f>VLOOKUP(B4250,辅助信息!E:I,3,FALSE)</f>
        <v>(五冶建设师大附中外语校新建教学楼工程)四川省成都市成华区大观堰2号(四川师范大学附属中学外国语学校)</v>
      </c>
      <c r="J4250" s="120" t="str">
        <f>VLOOKUP(B4250,辅助信息!E:I,4,FALSE)</f>
        <v>蔡浩</v>
      </c>
      <c r="K4250" s="120">
        <f>VLOOKUP(J4250,辅助信息!H:I,2,FALSE)</f>
        <v>13980880820</v>
      </c>
      <c r="L4250" s="122"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1">
        <v>45940</v>
      </c>
      <c r="O4250" s="62">
        <f ca="1" t="shared" si="214"/>
        <v>0</v>
      </c>
      <c r="P4250" s="62">
        <f ca="1" t="shared" si="215"/>
        <v>20</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8"/>
      <c r="B4251" s="136" t="s">
        <v>196</v>
      </c>
      <c r="C4251" s="70">
        <v>45940</v>
      </c>
      <c r="D4251" s="120" t="str">
        <f>VLOOKUP(B4251,辅助信息!E:K,7,FALSE)</f>
        <v>JWDDCD2025102100476</v>
      </c>
      <c r="E4251" s="120" t="str">
        <f>VLOOKUP(F4251,辅助信息!A:B,2,FALSE)</f>
        <v>螺纹钢</v>
      </c>
      <c r="F4251" s="120" t="s">
        <v>21</v>
      </c>
      <c r="G4251" s="121">
        <v>5</v>
      </c>
      <c r="H4251" s="134">
        <f>IF(SUMIFS('[1]2025年已发货'!$E:$E,'[1]2025年已发货'!$F:$F,C4251,'[1]2025年已发货'!$C:$C,F4251,'[1]2025年已发货'!$G:$G,I4251,'[1]2025年已发货'!$H:$H,J4251)=0,"未发货",SUMIFS('[1]2025年已发货'!$E:$E,'[1]2025年已发货'!$F:$F,C4251,'[1]2025年已发货'!$C:$C,F4251,'[1]2025年已发货'!$G:$G,I4251,'[1]2025年已发货'!$H:$H,J4251))</f>
        <v>5</v>
      </c>
      <c r="I4251" s="120" t="str">
        <f>VLOOKUP(B4251,辅助信息!E:I,3,FALSE)</f>
        <v>(五冶建设师大附中外语校新建教学楼工程)四川省成都市成华区大观堰2号(四川师范大学附属中学外国语学校)</v>
      </c>
      <c r="J4251" s="120" t="str">
        <f>VLOOKUP(B4251,辅助信息!E:I,4,FALSE)</f>
        <v>蔡浩</v>
      </c>
      <c r="K4251" s="120">
        <f>VLOOKUP(J4251,辅助信息!H:I,2,FALSE)</f>
        <v>13980880820</v>
      </c>
      <c r="L4251" s="122"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1">
        <v>45940</v>
      </c>
      <c r="O4251" s="62">
        <f ca="1" t="shared" si="214"/>
        <v>0</v>
      </c>
      <c r="P4251" s="62">
        <f ca="1" t="shared" si="215"/>
        <v>20</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8"/>
      <c r="B4252" s="136" t="s">
        <v>196</v>
      </c>
      <c r="C4252" s="70">
        <v>45940</v>
      </c>
      <c r="D4252" s="120" t="str">
        <f>VLOOKUP(B4252,辅助信息!E:K,7,FALSE)</f>
        <v>JWDDCD2025102100476</v>
      </c>
      <c r="E4252" s="120" t="str">
        <f>VLOOKUP(F4252,辅助信息!A:B,2,FALSE)</f>
        <v>螺纹钢</v>
      </c>
      <c r="F4252" s="120" t="s">
        <v>46</v>
      </c>
      <c r="G4252" s="121">
        <v>5</v>
      </c>
      <c r="H4252" s="134">
        <f>IF(SUMIFS('[1]2025年已发货'!$E:$E,'[1]2025年已发货'!$F:$F,C4252,'[1]2025年已发货'!$C:$C,F4252,'[1]2025年已发货'!$G:$G,I4252,'[1]2025年已发货'!$H:$H,J4252)=0,"未发货",SUMIFS('[1]2025年已发货'!$E:$E,'[1]2025年已发货'!$F:$F,C4252,'[1]2025年已发货'!$C:$C,F4252,'[1]2025年已发货'!$G:$G,I4252,'[1]2025年已发货'!$H:$H,J4252))</f>
        <v>5</v>
      </c>
      <c r="I4252" s="120" t="str">
        <f>VLOOKUP(B4252,辅助信息!E:I,3,FALSE)</f>
        <v>(五冶建设师大附中外语校新建教学楼工程)四川省成都市成华区大观堰2号(四川师范大学附属中学外国语学校)</v>
      </c>
      <c r="J4252" s="120" t="str">
        <f>VLOOKUP(B4252,辅助信息!E:I,4,FALSE)</f>
        <v>蔡浩</v>
      </c>
      <c r="K4252" s="120">
        <f>VLOOKUP(J4252,辅助信息!H:I,2,FALSE)</f>
        <v>13980880820</v>
      </c>
      <c r="L4252" s="122"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1">
        <v>45940</v>
      </c>
      <c r="O4252" s="62">
        <f ca="1" t="shared" si="214"/>
        <v>0</v>
      </c>
      <c r="P4252" s="62">
        <f ca="1" t="shared" si="215"/>
        <v>20</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8"/>
      <c r="B4253" s="136" t="s">
        <v>196</v>
      </c>
      <c r="C4253" s="70">
        <v>45940</v>
      </c>
      <c r="D4253" s="120" t="str">
        <f>VLOOKUP(B4253,辅助信息!E:K,7,FALSE)</f>
        <v>JWDDCD2025102100476</v>
      </c>
      <c r="E4253" s="120" t="str">
        <f>VLOOKUP(F4253,辅助信息!A:B,2,FALSE)</f>
        <v>螺纹钢</v>
      </c>
      <c r="F4253" s="120" t="s">
        <v>22</v>
      </c>
      <c r="G4253" s="121">
        <v>40</v>
      </c>
      <c r="H4253" s="134">
        <f>IF(SUMIFS('[1]2025年已发货'!$E:$E,'[1]2025年已发货'!$F:$F,C4253,'[1]2025年已发货'!$C:$C,F4253,'[1]2025年已发货'!$G:$G,I4253,'[1]2025年已发货'!$H:$H,J4253)=0,"未发货",SUMIFS('[1]2025年已发货'!$E:$E,'[1]2025年已发货'!$F:$F,C4253,'[1]2025年已发货'!$C:$C,F4253,'[1]2025年已发货'!$G:$G,I4253,'[1]2025年已发货'!$H:$H,J4253))</f>
        <v>40</v>
      </c>
      <c r="I4253" s="120" t="str">
        <f>VLOOKUP(B4253,辅助信息!E:I,3,FALSE)</f>
        <v>(五冶建设师大附中外语校新建教学楼工程)四川省成都市成华区大观堰2号(四川师范大学附属中学外国语学校)</v>
      </c>
      <c r="J4253" s="120" t="str">
        <f>VLOOKUP(B4253,辅助信息!E:I,4,FALSE)</f>
        <v>蔡浩</v>
      </c>
      <c r="K4253" s="120">
        <f>VLOOKUP(J4253,辅助信息!H:I,2,FALSE)</f>
        <v>13980880820</v>
      </c>
      <c r="L4253" s="122"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1">
        <v>45940</v>
      </c>
      <c r="O4253" s="62">
        <f ca="1" t="shared" si="214"/>
        <v>0</v>
      </c>
      <c r="P4253" s="62">
        <f ca="1" t="shared" si="215"/>
        <v>20</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8"/>
      <c r="B4254" s="136" t="s">
        <v>196</v>
      </c>
      <c r="C4254" s="70">
        <v>45940</v>
      </c>
      <c r="D4254" s="120" t="str">
        <f>VLOOKUP(B4254,辅助信息!E:K,7,FALSE)</f>
        <v>JWDDCD2025102100476</v>
      </c>
      <c r="E4254" s="120" t="str">
        <f>VLOOKUP(F4254,辅助信息!A:B,2,FALSE)</f>
        <v>螺纹钢</v>
      </c>
      <c r="F4254" s="120" t="s">
        <v>181</v>
      </c>
      <c r="G4254" s="121">
        <v>7.5</v>
      </c>
      <c r="H4254" s="134">
        <f>IF(SUMIFS('[1]2025年已发货'!$E:$E,'[1]2025年已发货'!$F:$F,C4254,'[1]2025年已发货'!$C:$C,F4254,'[1]2025年已发货'!$G:$G,I4254,'[1]2025年已发货'!$H:$H,J4254)=0,"未发货",SUMIFS('[1]2025年已发货'!$E:$E,'[1]2025年已发货'!$F:$F,C4254,'[1]2025年已发货'!$C:$C,F4254,'[1]2025年已发货'!$G:$G,I4254,'[1]2025年已发货'!$H:$H,J4254))</f>
        <v>7.5</v>
      </c>
      <c r="I4254" s="120" t="str">
        <f>VLOOKUP(B4254,辅助信息!E:I,3,FALSE)</f>
        <v>(五冶建设师大附中外语校新建教学楼工程)四川省成都市成华区大观堰2号(四川师范大学附属中学外国语学校)</v>
      </c>
      <c r="J4254" s="120" t="str">
        <f>VLOOKUP(B4254,辅助信息!E:I,4,FALSE)</f>
        <v>蔡浩</v>
      </c>
      <c r="K4254" s="120">
        <f>VLOOKUP(J4254,辅助信息!H:I,2,FALSE)</f>
        <v>13980880820</v>
      </c>
      <c r="L4254" s="122"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1">
        <v>45940</v>
      </c>
      <c r="O4254" s="62">
        <f ca="1" t="shared" si="214"/>
        <v>0</v>
      </c>
      <c r="P4254" s="62">
        <f ca="1" t="shared" si="215"/>
        <v>20</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8"/>
      <c r="B4255" s="136" t="s">
        <v>196</v>
      </c>
      <c r="C4255" s="70">
        <v>45940</v>
      </c>
      <c r="D4255" s="120" t="str">
        <f>VLOOKUP(B4255,辅助信息!E:K,7,FALSE)</f>
        <v>JWDDCD2025102100476</v>
      </c>
      <c r="E4255" s="120" t="str">
        <f>VLOOKUP(F4255,辅助信息!A:B,2,FALSE)</f>
        <v>螺纹钢</v>
      </c>
      <c r="F4255" s="120" t="s">
        <v>182</v>
      </c>
      <c r="G4255" s="121">
        <v>12.5</v>
      </c>
      <c r="H4255" s="134">
        <f>IF(SUMIFS('[1]2025年已发货'!$E:$E,'[1]2025年已发货'!$F:$F,C4255,'[1]2025年已发货'!$C:$C,F4255,'[1]2025年已发货'!$G:$G,I4255,'[1]2025年已发货'!$H:$H,J4255)=0,"未发货",SUMIFS('[1]2025年已发货'!$E:$E,'[1]2025年已发货'!$F:$F,C4255,'[1]2025年已发货'!$C:$C,F4255,'[1]2025年已发货'!$G:$G,I4255,'[1]2025年已发货'!$H:$H,J4255))</f>
        <v>12.5</v>
      </c>
      <c r="I4255" s="120" t="str">
        <f>VLOOKUP(B4255,辅助信息!E:I,3,FALSE)</f>
        <v>(五冶建设师大附中外语校新建教学楼工程)四川省成都市成华区大观堰2号(四川师范大学附属中学外国语学校)</v>
      </c>
      <c r="J4255" s="120" t="str">
        <f>VLOOKUP(B4255,辅助信息!E:I,4,FALSE)</f>
        <v>蔡浩</v>
      </c>
      <c r="K4255" s="120">
        <f>VLOOKUP(J4255,辅助信息!H:I,2,FALSE)</f>
        <v>13980880820</v>
      </c>
      <c r="L4255" s="122"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1">
        <v>45940</v>
      </c>
      <c r="O4255" s="62">
        <f ca="1" t="shared" si="214"/>
        <v>0</v>
      </c>
      <c r="P4255" s="62">
        <f ca="1" t="shared" si="215"/>
        <v>20</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6" t="s">
        <v>186</v>
      </c>
      <c r="C4256" s="70">
        <v>45940</v>
      </c>
      <c r="D4256" s="120" t="str">
        <f>VLOOKUP(B4256,辅助信息!E:K,7,FALSE)</f>
        <v>JWDDCD2025072900123</v>
      </c>
      <c r="E4256" s="120" t="str">
        <f>VLOOKUP(F4256,辅助信息!A:B,2,FALSE)</f>
        <v>螺纹钢</v>
      </c>
      <c r="F4256" s="120" t="s">
        <v>76</v>
      </c>
      <c r="G4256" s="121">
        <v>35</v>
      </c>
      <c r="H4256" s="134">
        <f>IF(SUMIFS('[1]2025年已发货'!$E:$E,'[1]2025年已发货'!$F:$F,C4256,'[1]2025年已发货'!$C:$C,F4256,'[1]2025年已发货'!$G:$G,I4256,'[1]2025年已发货'!$H:$H,J4256)=0,"未发货",SUMIFS('[1]2025年已发货'!$E:$E,'[1]2025年已发货'!$F:$F,C4256,'[1]2025年已发货'!$C:$C,F4256,'[1]2025年已发货'!$G:$G,I4256,'[1]2025年已发货'!$H:$H,J4256))</f>
        <v>35</v>
      </c>
      <c r="I4256" s="120" t="str">
        <f>VLOOKUP(B4256,辅助信息!E:I,3,FALSE)</f>
        <v>(乐山市校地共建产教融合基地建设项目二标段)四川省乐山市市中区苏稽镇</v>
      </c>
      <c r="J4256" s="120" t="str">
        <f>VLOOKUP(B4256,辅助信息!E:I,4,FALSE)</f>
        <v>彭江涛</v>
      </c>
      <c r="K4256" s="120">
        <f>VLOOKUP(J4256,辅助信息!H:I,2,FALSE)</f>
        <v>13990276572</v>
      </c>
      <c r="L4256" s="122" t="str">
        <f>VLOOKUP(B4256,辅助信息!E:J,6,FALSE)</f>
        <v>联系实际收货人（彭江涛13990276572）现场要求炉批号控制2个以下，超2个不给予签收。提前联系到场规格及数量</v>
      </c>
      <c r="O4256" s="62" t="str">
        <f ca="1" t="shared" ref="O4256:O4319" si="216">IF(OR(M4256="",N4256&lt;&gt;""),"",MAX(M4256-TODAY(),0))</f>
        <v/>
      </c>
      <c r="P4256" s="62"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6" t="s">
        <v>92</v>
      </c>
      <c r="C4257" s="70">
        <v>45940</v>
      </c>
      <c r="D4257" s="120" t="str">
        <f>VLOOKUP(B4257,辅助信息!E:K,7,FALSE)</f>
        <v>JWDDCD2025051800046</v>
      </c>
      <c r="E4257" s="120" t="str">
        <f>VLOOKUP(F4257,辅助信息!A:B,2,FALSE)</f>
        <v>盘螺</v>
      </c>
      <c r="F4257" s="120" t="s">
        <v>49</v>
      </c>
      <c r="G4257" s="121">
        <v>2.5</v>
      </c>
      <c r="H4257" s="134"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0" t="str">
        <f>VLOOKUP(B4257,辅助信息!E:I,3,FALSE)</f>
        <v>（华西萌海科创农业生态谷）成都市简阳市白金山水库</v>
      </c>
      <c r="J4257" s="120" t="str">
        <f>VLOOKUP(B4257,辅助信息!E:I,4,FALSE)</f>
        <v>石清国</v>
      </c>
      <c r="K4257" s="120">
        <f>VLOOKUP(J4257,辅助信息!H:I,2,FALSE)</f>
        <v>13458642015</v>
      </c>
      <c r="L4257" s="122" t="str">
        <f>VLOOKUP(B4257,辅助信息!E:J,6,FALSE)</f>
        <v>优先威钢,我方卸车,新老国标钢厂不加价可直发</v>
      </c>
      <c r="M4257" s="148">
        <v>45942</v>
      </c>
      <c r="O4257" s="62">
        <f ca="1" t="shared" si="216"/>
        <v>0</v>
      </c>
      <c r="P4257" s="62">
        <f ca="1" t="shared" si="217"/>
        <v>18</v>
      </c>
      <c r="Q4257" s="29" t="str">
        <f>VLOOKUP(B4257,辅助信息!E:M,9,FALSE)</f>
        <v>ZTWM-CDGS-XS-2024-0092-华西-萌海科创农业生态谷</v>
      </c>
      <c r="R4257" s="29" t="str">
        <f>_xlfn._xlws.FILTER(辅助信息!D:D,辅助信息!E:E=B4257)</f>
        <v>华西萌海-科创农业生态谷</v>
      </c>
    </row>
    <row r="4258" hidden="1" spans="2:18">
      <c r="B4258" s="136" t="s">
        <v>92</v>
      </c>
      <c r="C4258" s="70">
        <v>45940</v>
      </c>
      <c r="D4258" s="120" t="str">
        <f>VLOOKUP(B4258,辅助信息!E:K,7,FALSE)</f>
        <v>JWDDCD2025051800046</v>
      </c>
      <c r="E4258" s="120" t="str">
        <f>VLOOKUP(F4258,辅助信息!A:B,2,FALSE)</f>
        <v>盘螺</v>
      </c>
      <c r="F4258" s="120" t="s">
        <v>40</v>
      </c>
      <c r="G4258" s="121">
        <v>20</v>
      </c>
      <c r="H4258" s="134"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0" t="str">
        <f>VLOOKUP(B4258,辅助信息!E:I,3,FALSE)</f>
        <v>（华西萌海科创农业生态谷）成都市简阳市白金山水库</v>
      </c>
      <c r="J4258" s="120" t="str">
        <f>VLOOKUP(B4258,辅助信息!E:I,4,FALSE)</f>
        <v>石清国</v>
      </c>
      <c r="K4258" s="120">
        <f>VLOOKUP(J4258,辅助信息!H:I,2,FALSE)</f>
        <v>13458642015</v>
      </c>
      <c r="L4258" s="122" t="str">
        <f>VLOOKUP(B4258,辅助信息!E:J,6,FALSE)</f>
        <v>优先威钢,我方卸车,新老国标钢厂不加价可直发</v>
      </c>
      <c r="M4258" s="148">
        <v>45942</v>
      </c>
      <c r="O4258" s="62">
        <f ca="1" t="shared" si="216"/>
        <v>0</v>
      </c>
      <c r="P4258" s="62">
        <f ca="1" t="shared" si="217"/>
        <v>18</v>
      </c>
      <c r="Q4258" s="29" t="str">
        <f>VLOOKUP(B4258,辅助信息!E:M,9,FALSE)</f>
        <v>ZTWM-CDGS-XS-2024-0092-华西-萌海科创农业生态谷</v>
      </c>
      <c r="R4258" s="29" t="str">
        <f>_xlfn._xlws.FILTER(辅助信息!D:D,辅助信息!E:E=B4258)</f>
        <v>华西萌海-科创农业生态谷</v>
      </c>
    </row>
    <row r="4259" hidden="1" spans="2:18">
      <c r="B4259" s="136" t="s">
        <v>92</v>
      </c>
      <c r="C4259" s="70">
        <v>45940</v>
      </c>
      <c r="D4259" s="120" t="str">
        <f>VLOOKUP(B4259,辅助信息!E:K,7,FALSE)</f>
        <v>JWDDCD2025051800046</v>
      </c>
      <c r="E4259" s="120" t="str">
        <f>VLOOKUP(F4259,辅助信息!A:B,2,FALSE)</f>
        <v>盘螺</v>
      </c>
      <c r="F4259" s="120" t="s">
        <v>41</v>
      </c>
      <c r="G4259" s="121">
        <v>15</v>
      </c>
      <c r="H4259" s="134">
        <f>IF(SUMIFS('[1]2025年已发货'!$E:$E,'[1]2025年已发货'!$F:$F,C4259,'[1]2025年已发货'!$C:$C,F4259,'[1]2025年已发货'!$G:$G,I4259,'[1]2025年已发货'!$H:$H,J4259)=0,"未发货",SUMIFS('[1]2025年已发货'!$E:$E,'[1]2025年已发货'!$F:$F,C4259,'[1]2025年已发货'!$C:$C,F4259,'[1]2025年已发货'!$G:$G,I4259,'[1]2025年已发货'!$H:$H,J4259))</f>
        <v>15</v>
      </c>
      <c r="I4259" s="120" t="str">
        <f>VLOOKUP(B4259,辅助信息!E:I,3,FALSE)</f>
        <v>（华西萌海科创农业生态谷）成都市简阳市白金山水库</v>
      </c>
      <c r="J4259" s="120" t="str">
        <f>VLOOKUP(B4259,辅助信息!E:I,4,FALSE)</f>
        <v>石清国</v>
      </c>
      <c r="K4259" s="120">
        <f>VLOOKUP(J4259,辅助信息!H:I,2,FALSE)</f>
        <v>13458642015</v>
      </c>
      <c r="L4259" s="122" t="str">
        <f>VLOOKUP(B4259,辅助信息!E:J,6,FALSE)</f>
        <v>优先威钢,我方卸车,新老国标钢厂不加价可直发</v>
      </c>
      <c r="M4259" s="148">
        <v>45942</v>
      </c>
      <c r="O4259" s="62">
        <f ca="1" t="shared" si="216"/>
        <v>0</v>
      </c>
      <c r="P4259" s="62">
        <f ca="1" t="shared" si="217"/>
        <v>18</v>
      </c>
      <c r="Q4259" s="29" t="str">
        <f>VLOOKUP(B4259,辅助信息!E:M,9,FALSE)</f>
        <v>ZTWM-CDGS-XS-2024-0092-华西-萌海科创农业生态谷</v>
      </c>
      <c r="R4259" s="29" t="str">
        <f>_xlfn._xlws.FILTER(辅助信息!D:D,辅助信息!E:E=B4259)</f>
        <v>华西萌海-科创农业生态谷</v>
      </c>
    </row>
    <row r="4260" hidden="1" spans="2:18">
      <c r="B4260" s="136" t="s">
        <v>92</v>
      </c>
      <c r="C4260" s="70">
        <v>45940</v>
      </c>
      <c r="D4260" s="120" t="str">
        <f>VLOOKUP(B4260,辅助信息!E:K,7,FALSE)</f>
        <v>JWDDCD2025051800046</v>
      </c>
      <c r="E4260" s="120" t="str">
        <f>VLOOKUP(F4260,辅助信息!A:B,2,FALSE)</f>
        <v>盘螺</v>
      </c>
      <c r="F4260" s="120" t="s">
        <v>26</v>
      </c>
      <c r="G4260" s="121">
        <v>5</v>
      </c>
      <c r="H4260" s="134"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0" t="str">
        <f>VLOOKUP(B4260,辅助信息!E:I,3,FALSE)</f>
        <v>（华西萌海科创农业生态谷）成都市简阳市白金山水库</v>
      </c>
      <c r="J4260" s="120" t="str">
        <f>VLOOKUP(B4260,辅助信息!E:I,4,FALSE)</f>
        <v>石清国</v>
      </c>
      <c r="K4260" s="120">
        <f>VLOOKUP(J4260,辅助信息!H:I,2,FALSE)</f>
        <v>13458642015</v>
      </c>
      <c r="L4260" s="122" t="str">
        <f>VLOOKUP(B4260,辅助信息!E:J,6,FALSE)</f>
        <v>优先威钢,我方卸车,新老国标钢厂不加价可直发</v>
      </c>
      <c r="M4260" s="148">
        <v>45942</v>
      </c>
      <c r="O4260" s="62">
        <f ca="1" t="shared" si="216"/>
        <v>0</v>
      </c>
      <c r="P4260" s="62">
        <f ca="1" t="shared" si="217"/>
        <v>18</v>
      </c>
      <c r="Q4260" s="29" t="str">
        <f>VLOOKUP(B4260,辅助信息!E:M,9,FALSE)</f>
        <v>ZTWM-CDGS-XS-2024-0092-华西-萌海科创农业生态谷</v>
      </c>
      <c r="R4260" s="29" t="str">
        <f>_xlfn._xlws.FILTER(辅助信息!D:D,辅助信息!E:E=B4260)</f>
        <v>华西萌海-科创农业生态谷</v>
      </c>
    </row>
    <row r="4261" hidden="1" spans="2:18">
      <c r="B4261" s="136" t="s">
        <v>92</v>
      </c>
      <c r="C4261" s="70">
        <v>45940</v>
      </c>
      <c r="D4261" s="120" t="str">
        <f>VLOOKUP(B4261,辅助信息!E:K,7,FALSE)</f>
        <v>JWDDCD2025051800046</v>
      </c>
      <c r="E4261" s="120" t="str">
        <f>VLOOKUP(F4261,辅助信息!A:B,2,FALSE)</f>
        <v>螺纹钢</v>
      </c>
      <c r="F4261" s="120" t="s">
        <v>27</v>
      </c>
      <c r="G4261" s="121">
        <v>5</v>
      </c>
      <c r="H4261" s="134">
        <f>IF(SUMIFS('[1]2025年已发货'!$E:$E,'[1]2025年已发货'!$F:$F,C4261,'[1]2025年已发货'!$C:$C,F4261,'[1]2025年已发货'!$G:$G,I4261,'[1]2025年已发货'!$H:$H,J4261)=0,"未发货",SUMIFS('[1]2025年已发货'!$E:$E,'[1]2025年已发货'!$F:$F,C4261,'[1]2025年已发货'!$C:$C,F4261,'[1]2025年已发货'!$G:$G,I4261,'[1]2025年已发货'!$H:$H,J4261))</f>
        <v>5</v>
      </c>
      <c r="I4261" s="120" t="str">
        <f>VLOOKUP(B4261,辅助信息!E:I,3,FALSE)</f>
        <v>（华西萌海科创农业生态谷）成都市简阳市白金山水库</v>
      </c>
      <c r="J4261" s="120" t="str">
        <f>VLOOKUP(B4261,辅助信息!E:I,4,FALSE)</f>
        <v>石清国</v>
      </c>
      <c r="K4261" s="120">
        <f>VLOOKUP(J4261,辅助信息!H:I,2,FALSE)</f>
        <v>13458642015</v>
      </c>
      <c r="L4261" s="122" t="str">
        <f>VLOOKUP(B4261,辅助信息!E:J,6,FALSE)</f>
        <v>优先威钢,我方卸车,新老国标钢厂不加价可直发</v>
      </c>
      <c r="M4261" s="148">
        <v>45942</v>
      </c>
      <c r="O4261" s="62">
        <f ca="1" t="shared" si="216"/>
        <v>0</v>
      </c>
      <c r="P4261" s="62">
        <f ca="1" t="shared" si="217"/>
        <v>18</v>
      </c>
      <c r="Q4261" s="29" t="str">
        <f>VLOOKUP(B4261,辅助信息!E:M,9,FALSE)</f>
        <v>ZTWM-CDGS-XS-2024-0092-华西-萌海科创农业生态谷</v>
      </c>
      <c r="R4261" s="29" t="str">
        <f>_xlfn._xlws.FILTER(辅助信息!D:D,辅助信息!E:E=B4261)</f>
        <v>华西萌海-科创农业生态谷</v>
      </c>
    </row>
    <row r="4262" hidden="1" spans="2:18">
      <c r="B4262" s="136" t="s">
        <v>92</v>
      </c>
      <c r="C4262" s="70">
        <v>45940</v>
      </c>
      <c r="D4262" s="120" t="str">
        <f>VLOOKUP(B4262,辅助信息!E:K,7,FALSE)</f>
        <v>JWDDCD2025051800046</v>
      </c>
      <c r="E4262" s="120" t="str">
        <f>VLOOKUP(F4262,辅助信息!A:B,2,FALSE)</f>
        <v>螺纹钢</v>
      </c>
      <c r="F4262" s="120" t="s">
        <v>19</v>
      </c>
      <c r="G4262" s="121">
        <v>5</v>
      </c>
      <c r="H4262" s="134">
        <f>IF(SUMIFS('[1]2025年已发货'!$E:$E,'[1]2025年已发货'!$F:$F,C4262,'[1]2025年已发货'!$C:$C,F4262,'[1]2025年已发货'!$G:$G,I4262,'[1]2025年已发货'!$H:$H,J4262)=0,"未发货",SUMIFS('[1]2025年已发货'!$E:$E,'[1]2025年已发货'!$F:$F,C4262,'[1]2025年已发货'!$C:$C,F4262,'[1]2025年已发货'!$G:$G,I4262,'[1]2025年已发货'!$H:$H,J4262))</f>
        <v>5</v>
      </c>
      <c r="I4262" s="120" t="str">
        <f>VLOOKUP(B4262,辅助信息!E:I,3,FALSE)</f>
        <v>（华西萌海科创农业生态谷）成都市简阳市白金山水库</v>
      </c>
      <c r="J4262" s="120" t="str">
        <f>VLOOKUP(B4262,辅助信息!E:I,4,FALSE)</f>
        <v>石清国</v>
      </c>
      <c r="K4262" s="120">
        <f>VLOOKUP(J4262,辅助信息!H:I,2,FALSE)</f>
        <v>13458642015</v>
      </c>
      <c r="L4262" s="122" t="str">
        <f>VLOOKUP(B4262,辅助信息!E:J,6,FALSE)</f>
        <v>优先威钢,我方卸车,新老国标钢厂不加价可直发</v>
      </c>
      <c r="M4262" s="148">
        <v>45942</v>
      </c>
      <c r="O4262" s="62">
        <f ca="1" t="shared" si="216"/>
        <v>0</v>
      </c>
      <c r="P4262" s="62">
        <f ca="1" t="shared" si="217"/>
        <v>18</v>
      </c>
      <c r="Q4262" s="29" t="str">
        <f>VLOOKUP(B4262,辅助信息!E:M,9,FALSE)</f>
        <v>ZTWM-CDGS-XS-2024-0092-华西-萌海科创农业生态谷</v>
      </c>
      <c r="R4262" s="29" t="str">
        <f>_xlfn._xlws.FILTER(辅助信息!D:D,辅助信息!E:E=B4262)</f>
        <v>华西萌海-科创农业生态谷</v>
      </c>
    </row>
    <row r="4263" hidden="1" spans="2:18">
      <c r="B4263" s="136" t="s">
        <v>92</v>
      </c>
      <c r="C4263" s="70">
        <v>45940</v>
      </c>
      <c r="D4263" s="120" t="str">
        <f>VLOOKUP(B4263,辅助信息!E:K,7,FALSE)</f>
        <v>JWDDCD2025051800046</v>
      </c>
      <c r="E4263" s="120" t="str">
        <f>VLOOKUP(F4263,辅助信息!A:B,2,FALSE)</f>
        <v>螺纹钢</v>
      </c>
      <c r="F4263" s="120" t="s">
        <v>45</v>
      </c>
      <c r="G4263" s="121">
        <v>3</v>
      </c>
      <c r="H4263" s="134">
        <f>IF(SUMIFS('[1]2025年已发货'!$E:$E,'[1]2025年已发货'!$F:$F,C4263,'[1]2025年已发货'!$C:$C,F4263,'[1]2025年已发货'!$G:$G,I4263,'[1]2025年已发货'!$H:$H,J4263)=0,"未发货",SUMIFS('[1]2025年已发货'!$E:$E,'[1]2025年已发货'!$F:$F,C4263,'[1]2025年已发货'!$C:$C,F4263,'[1]2025年已发货'!$G:$G,I4263,'[1]2025年已发货'!$H:$H,J4263))</f>
        <v>3</v>
      </c>
      <c r="I4263" s="120" t="str">
        <f>VLOOKUP(B4263,辅助信息!E:I,3,FALSE)</f>
        <v>（华西萌海科创农业生态谷）成都市简阳市白金山水库</v>
      </c>
      <c r="J4263" s="120" t="str">
        <f>VLOOKUP(B4263,辅助信息!E:I,4,FALSE)</f>
        <v>石清国</v>
      </c>
      <c r="K4263" s="120">
        <f>VLOOKUP(J4263,辅助信息!H:I,2,FALSE)</f>
        <v>13458642015</v>
      </c>
      <c r="L4263" s="122" t="str">
        <f>VLOOKUP(B4263,辅助信息!E:J,6,FALSE)</f>
        <v>优先威钢,我方卸车,新老国标钢厂不加价可直发</v>
      </c>
      <c r="M4263" s="148">
        <v>45942</v>
      </c>
      <c r="O4263" s="62">
        <f ca="1" t="shared" si="216"/>
        <v>0</v>
      </c>
      <c r="P4263" s="62">
        <f ca="1" t="shared" si="217"/>
        <v>18</v>
      </c>
      <c r="Q4263" s="29" t="str">
        <f>VLOOKUP(B4263,辅助信息!E:M,9,FALSE)</f>
        <v>ZTWM-CDGS-XS-2024-0092-华西-萌海科创农业生态谷</v>
      </c>
      <c r="R4263" s="29" t="str">
        <f>_xlfn._xlws.FILTER(辅助信息!D:D,辅助信息!E:E=B4263)</f>
        <v>华西萌海-科创农业生态谷</v>
      </c>
    </row>
    <row r="4264" hidden="1" spans="2:18">
      <c r="B4264" s="136" t="s">
        <v>92</v>
      </c>
      <c r="C4264" s="70">
        <v>45940</v>
      </c>
      <c r="D4264" s="120" t="str">
        <f>VLOOKUP(B4264,辅助信息!E:K,7,FALSE)</f>
        <v>JWDDCD2025051800046</v>
      </c>
      <c r="E4264" s="120" t="str">
        <f>VLOOKUP(F4264,辅助信息!A:B,2,FALSE)</f>
        <v>螺纹钢</v>
      </c>
      <c r="F4264" s="120" t="s">
        <v>58</v>
      </c>
      <c r="G4264" s="121">
        <v>3</v>
      </c>
      <c r="H4264" s="134">
        <f>IF(SUMIFS('[1]2025年已发货'!$E:$E,'[1]2025年已发货'!$F:$F,C4264,'[1]2025年已发货'!$C:$C,F4264,'[1]2025年已发货'!$G:$G,I4264,'[1]2025年已发货'!$H:$H,J4264)=0,"未发货",SUMIFS('[1]2025年已发货'!$E:$E,'[1]2025年已发货'!$F:$F,C4264,'[1]2025年已发货'!$C:$C,F4264,'[1]2025年已发货'!$G:$G,I4264,'[1]2025年已发货'!$H:$H,J4264))</f>
        <v>3</v>
      </c>
      <c r="I4264" s="120" t="str">
        <f>VLOOKUP(B4264,辅助信息!E:I,3,FALSE)</f>
        <v>（华西萌海科创农业生态谷）成都市简阳市白金山水库</v>
      </c>
      <c r="J4264" s="120" t="str">
        <f>VLOOKUP(B4264,辅助信息!E:I,4,FALSE)</f>
        <v>石清国</v>
      </c>
      <c r="K4264" s="120">
        <f>VLOOKUP(J4264,辅助信息!H:I,2,FALSE)</f>
        <v>13458642015</v>
      </c>
      <c r="L4264" s="122" t="str">
        <f>VLOOKUP(B4264,辅助信息!E:J,6,FALSE)</f>
        <v>优先威钢,我方卸车,新老国标钢厂不加价可直发</v>
      </c>
      <c r="M4264" s="148">
        <v>45942</v>
      </c>
      <c r="O4264" s="62">
        <f ca="1" t="shared" si="216"/>
        <v>0</v>
      </c>
      <c r="P4264" s="62">
        <f ca="1" t="shared" si="217"/>
        <v>18</v>
      </c>
      <c r="Q4264" s="29" t="str">
        <f>VLOOKUP(B4264,辅助信息!E:M,9,FALSE)</f>
        <v>ZTWM-CDGS-XS-2024-0092-华西-萌海科创农业生态谷</v>
      </c>
      <c r="R4264" s="29" t="str">
        <f>_xlfn._xlws.FILTER(辅助信息!D:D,辅助信息!E:E=B4264)</f>
        <v>华西萌海-科创农业生态谷</v>
      </c>
    </row>
    <row r="4265" hidden="1" spans="2:18">
      <c r="B4265" s="136" t="s">
        <v>92</v>
      </c>
      <c r="C4265" s="70">
        <v>45940</v>
      </c>
      <c r="D4265" s="120" t="str">
        <f>VLOOKUP(B4265,辅助信息!E:K,7,FALSE)</f>
        <v>JWDDCD2025051800046</v>
      </c>
      <c r="E4265" s="120" t="str">
        <f>VLOOKUP(F4265,辅助信息!A:B,2,FALSE)</f>
        <v>螺纹钢</v>
      </c>
      <c r="F4265" s="120" t="s">
        <v>22</v>
      </c>
      <c r="G4265" s="121">
        <v>6</v>
      </c>
      <c r="H4265" s="134">
        <f>IF(SUMIFS('[1]2025年已发货'!$E:$E,'[1]2025年已发货'!$F:$F,C4265,'[1]2025年已发货'!$C:$C,F4265,'[1]2025年已发货'!$G:$G,I4265,'[1]2025年已发货'!$H:$H,J4265)=0,"未发货",SUMIFS('[1]2025年已发货'!$E:$E,'[1]2025年已发货'!$F:$F,C4265,'[1]2025年已发货'!$C:$C,F4265,'[1]2025年已发货'!$G:$G,I4265,'[1]2025年已发货'!$H:$H,J4265))</f>
        <v>6</v>
      </c>
      <c r="I4265" s="120" t="str">
        <f>VLOOKUP(B4265,辅助信息!E:I,3,FALSE)</f>
        <v>（华西萌海科创农业生态谷）成都市简阳市白金山水库</v>
      </c>
      <c r="J4265" s="120" t="str">
        <f>VLOOKUP(B4265,辅助信息!E:I,4,FALSE)</f>
        <v>石清国</v>
      </c>
      <c r="K4265" s="120">
        <f>VLOOKUP(J4265,辅助信息!H:I,2,FALSE)</f>
        <v>13458642015</v>
      </c>
      <c r="L4265" s="122" t="str">
        <f>VLOOKUP(B4265,辅助信息!E:J,6,FALSE)</f>
        <v>优先威钢,我方卸车,新老国标钢厂不加价可直发</v>
      </c>
      <c r="M4265" s="148">
        <v>45942</v>
      </c>
      <c r="O4265" s="62">
        <f ca="1" t="shared" si="216"/>
        <v>0</v>
      </c>
      <c r="P4265" s="62">
        <f ca="1" t="shared" si="217"/>
        <v>18</v>
      </c>
      <c r="Q4265" s="29" t="str">
        <f>VLOOKUP(B4265,辅助信息!E:M,9,FALSE)</f>
        <v>ZTWM-CDGS-XS-2024-0092-华西-萌海科创农业生态谷</v>
      </c>
      <c r="R4265" s="29" t="str">
        <f>_xlfn._xlws.FILTER(辅助信息!D:D,辅助信息!E:E=B4265)</f>
        <v>华西萌海-科创农业生态谷</v>
      </c>
    </row>
    <row r="4266" hidden="1" spans="2:18">
      <c r="B4266" s="136" t="s">
        <v>228</v>
      </c>
      <c r="C4266" s="70">
        <v>45940</v>
      </c>
      <c r="D4266" s="120" t="str">
        <f>VLOOKUP(B4266,辅助信息!E:K,7,FALSE)</f>
        <v>JWDDCD2025092400190</v>
      </c>
      <c r="E4266" s="120" t="str">
        <f>VLOOKUP(F4266,辅助信息!A:B,2,FALSE)</f>
        <v>螺纹钢</v>
      </c>
      <c r="F4266" s="120" t="s">
        <v>27</v>
      </c>
      <c r="G4266" s="121">
        <v>70</v>
      </c>
      <c r="H4266" s="134">
        <f>IF(SUMIFS('[1]2025年已发货'!$E:$E,'[1]2025年已发货'!$F:$F,C4266,'[1]2025年已发货'!$C:$C,F4266,'[1]2025年已发货'!$G:$G,I4266,'[1]2025年已发货'!$H:$H,J4266)=0,"未发货",SUMIFS('[1]2025年已发货'!$E:$E,'[1]2025年已发货'!$F:$F,C4266,'[1]2025年已发货'!$C:$C,F4266,'[1]2025年已发货'!$G:$G,I4266,'[1]2025年已发货'!$H:$H,J4266))</f>
        <v>70</v>
      </c>
      <c r="I4266" s="120" t="str">
        <f>VLOOKUP(B4266,辅助信息!E:I,3,FALSE)</f>
        <v>(五冶钢构龙泉东洪片区70亩住宅、商业及配套工程项目二标段)成都市龙泉驿外东洪路地铁2号线惠王陵地铁C口</v>
      </c>
      <c r="J4266" s="120" t="str">
        <f>VLOOKUP(B4266,辅助信息!E:I,4,FALSE)</f>
        <v>蒋嗣伟</v>
      </c>
      <c r="K4266" s="120">
        <f>VLOOKUP(J4266,辅助信息!H:I,2,FALSE)</f>
        <v>15014331252</v>
      </c>
      <c r="L4266" s="122">
        <f>VLOOKUP(B4266,辅助信息!E:J,6,FALSE)</f>
        <v>0</v>
      </c>
      <c r="M4266" s="91">
        <v>45941</v>
      </c>
      <c r="O4266" s="62">
        <f ca="1" t="shared" si="216"/>
        <v>0</v>
      </c>
      <c r="P4266" s="62">
        <f ca="1" t="shared" si="217"/>
        <v>19</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6" t="s">
        <v>228</v>
      </c>
      <c r="C4267" s="70">
        <v>45940</v>
      </c>
      <c r="D4267" s="120" t="str">
        <f>VLOOKUP(B4267,辅助信息!E:K,7,FALSE)</f>
        <v>JWDDCD2025092400190</v>
      </c>
      <c r="E4267" s="120" t="str">
        <f>VLOOKUP(F4267,辅助信息!A:B,2,FALSE)</f>
        <v>螺纹钢</v>
      </c>
      <c r="F4267" s="120" t="s">
        <v>32</v>
      </c>
      <c r="G4267" s="121">
        <v>35</v>
      </c>
      <c r="H4267" s="134"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0" t="str">
        <f>VLOOKUP(B4267,辅助信息!E:I,3,FALSE)</f>
        <v>(五冶钢构龙泉东洪片区70亩住宅、商业及配套工程项目二标段)成都市龙泉驿外东洪路地铁2号线惠王陵地铁C口</v>
      </c>
      <c r="J4267" s="120" t="str">
        <f>VLOOKUP(B4267,辅助信息!E:I,4,FALSE)</f>
        <v>蒋嗣伟</v>
      </c>
      <c r="K4267" s="120">
        <f>VLOOKUP(J4267,辅助信息!H:I,2,FALSE)</f>
        <v>15014331252</v>
      </c>
      <c r="L4267" s="122">
        <f>VLOOKUP(B4267,辅助信息!E:J,6,FALSE)</f>
        <v>0</v>
      </c>
      <c r="M4267" s="91">
        <v>45941</v>
      </c>
      <c r="O4267" s="62">
        <f ca="1" t="shared" si="216"/>
        <v>0</v>
      </c>
      <c r="P4267" s="62">
        <f ca="1" t="shared" si="217"/>
        <v>19</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6" t="s">
        <v>228</v>
      </c>
      <c r="C4268" s="70">
        <v>45940</v>
      </c>
      <c r="D4268" s="120" t="str">
        <f>VLOOKUP(B4268,辅助信息!E:K,7,FALSE)</f>
        <v>JWDDCD2025092400190</v>
      </c>
      <c r="E4268" s="120" t="str">
        <f>VLOOKUP(F4268,辅助信息!A:B,2,FALSE)</f>
        <v>螺纹钢</v>
      </c>
      <c r="F4268" s="120" t="s">
        <v>30</v>
      </c>
      <c r="G4268" s="121">
        <v>20</v>
      </c>
      <c r="H4268" s="134"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0" t="str">
        <f>VLOOKUP(B4268,辅助信息!E:I,3,FALSE)</f>
        <v>(五冶钢构龙泉东洪片区70亩住宅、商业及配套工程项目二标段)成都市龙泉驿外东洪路地铁2号线惠王陵地铁C口</v>
      </c>
      <c r="J4268" s="120" t="str">
        <f>VLOOKUP(B4268,辅助信息!E:I,4,FALSE)</f>
        <v>蒋嗣伟</v>
      </c>
      <c r="K4268" s="120">
        <f>VLOOKUP(J4268,辅助信息!H:I,2,FALSE)</f>
        <v>15014331252</v>
      </c>
      <c r="L4268" s="122">
        <f>VLOOKUP(B4268,辅助信息!E:J,6,FALSE)</f>
        <v>0</v>
      </c>
      <c r="M4268" s="91">
        <v>45941</v>
      </c>
      <c r="O4268" s="62">
        <f ca="1" t="shared" si="216"/>
        <v>0</v>
      </c>
      <c r="P4268" s="62">
        <f ca="1" t="shared" si="217"/>
        <v>19</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6" t="s">
        <v>228</v>
      </c>
      <c r="C4269" s="70">
        <v>45940</v>
      </c>
      <c r="D4269" s="120" t="str">
        <f>VLOOKUP(B4269,辅助信息!E:K,7,FALSE)</f>
        <v>JWDDCD2025092400190</v>
      </c>
      <c r="E4269" s="120" t="str">
        <f>VLOOKUP(F4269,辅助信息!A:B,2,FALSE)</f>
        <v>螺纹钢</v>
      </c>
      <c r="F4269" s="120" t="s">
        <v>28</v>
      </c>
      <c r="G4269" s="121">
        <v>12</v>
      </c>
      <c r="H4269" s="134"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0" t="str">
        <f>VLOOKUP(B4269,辅助信息!E:I,3,FALSE)</f>
        <v>(五冶钢构龙泉东洪片区70亩住宅、商业及配套工程项目二标段)成都市龙泉驿外东洪路地铁2号线惠王陵地铁C口</v>
      </c>
      <c r="J4269" s="120" t="str">
        <f>VLOOKUP(B4269,辅助信息!E:I,4,FALSE)</f>
        <v>蒋嗣伟</v>
      </c>
      <c r="K4269" s="120">
        <f>VLOOKUP(J4269,辅助信息!H:I,2,FALSE)</f>
        <v>15014331252</v>
      </c>
      <c r="L4269" s="122">
        <f>VLOOKUP(B4269,辅助信息!E:J,6,FALSE)</f>
        <v>0</v>
      </c>
      <c r="M4269" s="91">
        <v>45941</v>
      </c>
      <c r="O4269" s="62">
        <f ca="1" t="shared" si="216"/>
        <v>0</v>
      </c>
      <c r="P4269" s="62">
        <f ca="1" t="shared" si="217"/>
        <v>19</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6" t="s">
        <v>228</v>
      </c>
      <c r="C4270" s="70">
        <v>45940</v>
      </c>
      <c r="D4270" s="120" t="str">
        <f>VLOOKUP(B4270,辅助信息!E:K,7,FALSE)</f>
        <v>JWDDCD2025092400190</v>
      </c>
      <c r="E4270" s="120" t="str">
        <f>VLOOKUP(F4270,辅助信息!A:B,2,FALSE)</f>
        <v>螺纹钢</v>
      </c>
      <c r="F4270" s="120" t="s">
        <v>46</v>
      </c>
      <c r="G4270" s="121">
        <v>3</v>
      </c>
      <c r="H4270" s="134"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0" t="str">
        <f>VLOOKUP(B4270,辅助信息!E:I,3,FALSE)</f>
        <v>(五冶钢构龙泉东洪片区70亩住宅、商业及配套工程项目二标段)成都市龙泉驿外东洪路地铁2号线惠王陵地铁C口</v>
      </c>
      <c r="J4270" s="120" t="str">
        <f>VLOOKUP(B4270,辅助信息!E:I,4,FALSE)</f>
        <v>蒋嗣伟</v>
      </c>
      <c r="K4270" s="120">
        <f>VLOOKUP(J4270,辅助信息!H:I,2,FALSE)</f>
        <v>15014331252</v>
      </c>
      <c r="L4270" s="122">
        <f>VLOOKUP(B4270,辅助信息!E:J,6,FALSE)</f>
        <v>0</v>
      </c>
      <c r="M4270" s="91">
        <v>45941</v>
      </c>
      <c r="O4270" s="62">
        <f ca="1" t="shared" si="216"/>
        <v>0</v>
      </c>
      <c r="P4270" s="62">
        <f ca="1" t="shared" si="217"/>
        <v>19</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6" t="s">
        <v>224</v>
      </c>
      <c r="C4271" s="70">
        <v>45940</v>
      </c>
      <c r="D4271" s="120" t="str">
        <f>VLOOKUP(B4271,辅助信息!E:K,7,FALSE)</f>
        <v>JWDDCD2025092400188</v>
      </c>
      <c r="E4271" s="120" t="str">
        <f>VLOOKUP(F4271,辅助信息!A:B,2,FALSE)</f>
        <v>盘螺</v>
      </c>
      <c r="F4271" s="120" t="s">
        <v>40</v>
      </c>
      <c r="G4271" s="121">
        <v>40</v>
      </c>
      <c r="H4271" s="134"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0" t="str">
        <f>VLOOKUP(B4271,辅助信息!E:I,3,FALSE)</f>
        <v>(五冶钢构龙泉东洪片区70亩住宅、商业及配套工程项目一标段)成都市龙泉驿外东洪路地铁2号线惠王陵地铁C口</v>
      </c>
      <c r="J4271" s="120" t="str">
        <f>VLOOKUP(B4271,辅助信息!E:I,4,FALSE)</f>
        <v>邹爱国</v>
      </c>
      <c r="K4271" s="120">
        <f>VLOOKUP(J4271,辅助信息!H:I,2,FALSE)</f>
        <v>13540231225</v>
      </c>
      <c r="L4271" s="122">
        <f>VLOOKUP(B4271,辅助信息!E:J,6,FALSE)</f>
        <v>0</v>
      </c>
      <c r="M4271" s="91">
        <v>45941</v>
      </c>
      <c r="O4271" s="62">
        <f ca="1" t="shared" si="216"/>
        <v>0</v>
      </c>
      <c r="P4271" s="62">
        <f ca="1" t="shared" si="217"/>
        <v>19</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6" t="s">
        <v>224</v>
      </c>
      <c r="C4272" s="70">
        <v>45940</v>
      </c>
      <c r="D4272" s="120" t="str">
        <f>VLOOKUP(B4272,辅助信息!E:K,7,FALSE)</f>
        <v>JWDDCD2025092400188</v>
      </c>
      <c r="E4272" s="120" t="str">
        <f>VLOOKUP(F4272,辅助信息!A:B,2,FALSE)</f>
        <v>盘螺</v>
      </c>
      <c r="F4272" s="120" t="s">
        <v>41</v>
      </c>
      <c r="G4272" s="121">
        <v>30</v>
      </c>
      <c r="H4272" s="134"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0" t="str">
        <f>VLOOKUP(B4272,辅助信息!E:I,3,FALSE)</f>
        <v>(五冶钢构龙泉东洪片区70亩住宅、商业及配套工程项目一标段)成都市龙泉驿外东洪路地铁2号线惠王陵地铁C口</v>
      </c>
      <c r="J4272" s="120" t="str">
        <f>VLOOKUP(B4272,辅助信息!E:I,4,FALSE)</f>
        <v>邹爱国</v>
      </c>
      <c r="K4272" s="120">
        <f>VLOOKUP(J4272,辅助信息!H:I,2,FALSE)</f>
        <v>13540231225</v>
      </c>
      <c r="L4272" s="122">
        <f>VLOOKUP(B4272,辅助信息!E:J,6,FALSE)</f>
        <v>0</v>
      </c>
      <c r="M4272" s="91">
        <v>45941</v>
      </c>
      <c r="O4272" s="62">
        <f ca="1" t="shared" si="216"/>
        <v>0</v>
      </c>
      <c r="P4272" s="62">
        <f ca="1" t="shared" si="217"/>
        <v>19</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6" t="s">
        <v>224</v>
      </c>
      <c r="C4273" s="70">
        <v>45940</v>
      </c>
      <c r="D4273" s="120" t="str">
        <f>VLOOKUP(B4273,辅助信息!E:K,7,FALSE)</f>
        <v>JWDDCD2025092400188</v>
      </c>
      <c r="E4273" s="120" t="str">
        <f>VLOOKUP(F4273,辅助信息!A:B,2,FALSE)</f>
        <v>螺纹钢</v>
      </c>
      <c r="F4273" s="120" t="s">
        <v>27</v>
      </c>
      <c r="G4273" s="121">
        <f>30+45</f>
        <v>75</v>
      </c>
      <c r="H4273" s="134"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0" t="str">
        <f>VLOOKUP(B4273,辅助信息!E:I,3,FALSE)</f>
        <v>(五冶钢构龙泉东洪片区70亩住宅、商业及配套工程项目一标段)成都市龙泉驿外东洪路地铁2号线惠王陵地铁C口</v>
      </c>
      <c r="J4273" s="120" t="str">
        <f>VLOOKUP(B4273,辅助信息!E:I,4,FALSE)</f>
        <v>邹爱国</v>
      </c>
      <c r="K4273" s="120">
        <f>VLOOKUP(J4273,辅助信息!H:I,2,FALSE)</f>
        <v>13540231225</v>
      </c>
      <c r="L4273" s="122">
        <f>VLOOKUP(B4273,辅助信息!E:J,6,FALSE)</f>
        <v>0</v>
      </c>
      <c r="M4273" s="91">
        <v>45941</v>
      </c>
      <c r="O4273" s="62">
        <f ca="1" t="shared" si="216"/>
        <v>0</v>
      </c>
      <c r="P4273" s="62">
        <f ca="1" t="shared" si="217"/>
        <v>19</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6" t="s">
        <v>224</v>
      </c>
      <c r="C4274" s="70">
        <v>45940</v>
      </c>
      <c r="D4274" s="120" t="str">
        <f>VLOOKUP(B4274,辅助信息!E:K,7,FALSE)</f>
        <v>JWDDCD2025092400188</v>
      </c>
      <c r="E4274" s="120" t="str">
        <f>VLOOKUP(F4274,辅助信息!A:B,2,FALSE)</f>
        <v>螺纹钢</v>
      </c>
      <c r="F4274" s="120" t="s">
        <v>19</v>
      </c>
      <c r="G4274" s="121">
        <v>13</v>
      </c>
      <c r="H4274" s="134"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0" t="str">
        <f>VLOOKUP(B4274,辅助信息!E:I,3,FALSE)</f>
        <v>(五冶钢构龙泉东洪片区70亩住宅、商业及配套工程项目一标段)成都市龙泉驿外东洪路地铁2号线惠王陵地铁C口</v>
      </c>
      <c r="J4274" s="120" t="str">
        <f>VLOOKUP(B4274,辅助信息!E:I,4,FALSE)</f>
        <v>邹爱国</v>
      </c>
      <c r="K4274" s="120">
        <f>VLOOKUP(J4274,辅助信息!H:I,2,FALSE)</f>
        <v>13540231225</v>
      </c>
      <c r="L4274" s="122">
        <f>VLOOKUP(B4274,辅助信息!E:J,6,FALSE)</f>
        <v>0</v>
      </c>
      <c r="M4274" s="91">
        <v>45941</v>
      </c>
      <c r="O4274" s="62">
        <f ca="1" t="shared" si="216"/>
        <v>0</v>
      </c>
      <c r="P4274" s="62">
        <f ca="1" t="shared" si="217"/>
        <v>19</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6" t="s">
        <v>224</v>
      </c>
      <c r="C4275" s="70">
        <v>45940</v>
      </c>
      <c r="D4275" s="120" t="str">
        <f>VLOOKUP(B4275,辅助信息!E:K,7,FALSE)</f>
        <v>JWDDCD2025092400188</v>
      </c>
      <c r="E4275" s="120" t="str">
        <f>VLOOKUP(F4275,辅助信息!A:B,2,FALSE)</f>
        <v>螺纹钢</v>
      </c>
      <c r="F4275" s="120" t="s">
        <v>32</v>
      </c>
      <c r="G4275" s="121">
        <v>16</v>
      </c>
      <c r="H4275" s="134"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0" t="str">
        <f>VLOOKUP(B4275,辅助信息!E:I,3,FALSE)</f>
        <v>(五冶钢构龙泉东洪片区70亩住宅、商业及配套工程项目一标段)成都市龙泉驿外东洪路地铁2号线惠王陵地铁C口</v>
      </c>
      <c r="J4275" s="120" t="str">
        <f>VLOOKUP(B4275,辅助信息!E:I,4,FALSE)</f>
        <v>邹爱国</v>
      </c>
      <c r="K4275" s="120">
        <f>VLOOKUP(J4275,辅助信息!H:I,2,FALSE)</f>
        <v>13540231225</v>
      </c>
      <c r="L4275" s="122">
        <f>VLOOKUP(B4275,辅助信息!E:J,6,FALSE)</f>
        <v>0</v>
      </c>
      <c r="M4275" s="91">
        <v>45941</v>
      </c>
      <c r="O4275" s="62">
        <f ca="1" t="shared" si="216"/>
        <v>0</v>
      </c>
      <c r="P4275" s="62">
        <f ca="1" t="shared" si="217"/>
        <v>19</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6" t="s">
        <v>224</v>
      </c>
      <c r="C4276" s="70">
        <v>45940</v>
      </c>
      <c r="D4276" s="120" t="str">
        <f>VLOOKUP(B4276,辅助信息!E:K,7,FALSE)</f>
        <v>JWDDCD2025092400188</v>
      </c>
      <c r="E4276" s="120" t="str">
        <f>VLOOKUP(F4276,辅助信息!A:B,2,FALSE)</f>
        <v>螺纹钢</v>
      </c>
      <c r="F4276" s="120" t="s">
        <v>30</v>
      </c>
      <c r="G4276" s="121">
        <v>20</v>
      </c>
      <c r="H4276" s="134"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0" t="str">
        <f>VLOOKUP(B4276,辅助信息!E:I,3,FALSE)</f>
        <v>(五冶钢构龙泉东洪片区70亩住宅、商业及配套工程项目一标段)成都市龙泉驿外东洪路地铁2号线惠王陵地铁C口</v>
      </c>
      <c r="J4276" s="120" t="str">
        <f>VLOOKUP(B4276,辅助信息!E:I,4,FALSE)</f>
        <v>邹爱国</v>
      </c>
      <c r="K4276" s="120">
        <f>VLOOKUP(J4276,辅助信息!H:I,2,FALSE)</f>
        <v>13540231225</v>
      </c>
      <c r="L4276" s="122">
        <f>VLOOKUP(B4276,辅助信息!E:J,6,FALSE)</f>
        <v>0</v>
      </c>
      <c r="M4276" s="91">
        <v>45941</v>
      </c>
      <c r="O4276" s="62">
        <f ca="1" t="shared" si="216"/>
        <v>0</v>
      </c>
      <c r="P4276" s="62">
        <f ca="1" t="shared" si="217"/>
        <v>19</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6" t="s">
        <v>224</v>
      </c>
      <c r="C4277" s="70">
        <v>45940</v>
      </c>
      <c r="D4277" s="120" t="str">
        <f>VLOOKUP(B4277,辅助信息!E:K,7,FALSE)</f>
        <v>JWDDCD2025092400188</v>
      </c>
      <c r="E4277" s="120" t="str">
        <f>VLOOKUP(F4277,辅助信息!A:B,2,FALSE)</f>
        <v>螺纹钢</v>
      </c>
      <c r="F4277" s="120" t="s">
        <v>33</v>
      </c>
      <c r="G4277" s="121">
        <v>28</v>
      </c>
      <c r="H4277" s="134"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0" t="str">
        <f>VLOOKUP(B4277,辅助信息!E:I,3,FALSE)</f>
        <v>(五冶钢构龙泉东洪片区70亩住宅、商业及配套工程项目一标段)成都市龙泉驿外东洪路地铁2号线惠王陵地铁C口</v>
      </c>
      <c r="J4277" s="120" t="str">
        <f>VLOOKUP(B4277,辅助信息!E:I,4,FALSE)</f>
        <v>邹爱国</v>
      </c>
      <c r="K4277" s="120">
        <f>VLOOKUP(J4277,辅助信息!H:I,2,FALSE)</f>
        <v>13540231225</v>
      </c>
      <c r="L4277" s="122">
        <f>VLOOKUP(B4277,辅助信息!E:J,6,FALSE)</f>
        <v>0</v>
      </c>
      <c r="M4277" s="91">
        <v>45941</v>
      </c>
      <c r="O4277" s="62">
        <f ca="1" t="shared" si="216"/>
        <v>0</v>
      </c>
      <c r="P4277" s="62">
        <f ca="1" t="shared" si="217"/>
        <v>19</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6" t="s">
        <v>224</v>
      </c>
      <c r="C4278" s="70">
        <v>45940</v>
      </c>
      <c r="D4278" s="120" t="str">
        <f>VLOOKUP(B4278,辅助信息!E:K,7,FALSE)</f>
        <v>JWDDCD2025092400188</v>
      </c>
      <c r="E4278" s="120" t="str">
        <f>VLOOKUP(F4278,辅助信息!A:B,2,FALSE)</f>
        <v>螺纹钢</v>
      </c>
      <c r="F4278" s="120" t="s">
        <v>28</v>
      </c>
      <c r="G4278" s="121">
        <v>36</v>
      </c>
      <c r="H4278" s="134"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0" t="str">
        <f>VLOOKUP(B4278,辅助信息!E:I,3,FALSE)</f>
        <v>(五冶钢构龙泉东洪片区70亩住宅、商业及配套工程项目一标段)成都市龙泉驿外东洪路地铁2号线惠王陵地铁C口</v>
      </c>
      <c r="J4278" s="120" t="str">
        <f>VLOOKUP(B4278,辅助信息!E:I,4,FALSE)</f>
        <v>邹爱国</v>
      </c>
      <c r="K4278" s="120">
        <f>VLOOKUP(J4278,辅助信息!H:I,2,FALSE)</f>
        <v>13540231225</v>
      </c>
      <c r="L4278" s="122">
        <f>VLOOKUP(B4278,辅助信息!E:J,6,FALSE)</f>
        <v>0</v>
      </c>
      <c r="M4278" s="91">
        <v>45941</v>
      </c>
      <c r="O4278" s="62">
        <f ca="1" t="shared" si="216"/>
        <v>0</v>
      </c>
      <c r="P4278" s="62">
        <f ca="1" t="shared" si="217"/>
        <v>19</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6" t="s">
        <v>224</v>
      </c>
      <c r="C4279" s="70">
        <v>45940</v>
      </c>
      <c r="D4279" s="120" t="str">
        <f>VLOOKUP(B4279,辅助信息!E:K,7,FALSE)</f>
        <v>JWDDCD2025092400188</v>
      </c>
      <c r="E4279" s="120" t="str">
        <f>VLOOKUP(F4279,辅助信息!A:B,2,FALSE)</f>
        <v>螺纹钢</v>
      </c>
      <c r="F4279" s="120" t="s">
        <v>18</v>
      </c>
      <c r="G4279" s="121">
        <v>8</v>
      </c>
      <c r="H4279" s="134"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0" t="str">
        <f>VLOOKUP(B4279,辅助信息!E:I,3,FALSE)</f>
        <v>(五冶钢构龙泉东洪片区70亩住宅、商业及配套工程项目一标段)成都市龙泉驿外东洪路地铁2号线惠王陵地铁C口</v>
      </c>
      <c r="J4279" s="120" t="str">
        <f>VLOOKUP(B4279,辅助信息!E:I,4,FALSE)</f>
        <v>邹爱国</v>
      </c>
      <c r="K4279" s="120">
        <f>VLOOKUP(J4279,辅助信息!H:I,2,FALSE)</f>
        <v>13540231225</v>
      </c>
      <c r="L4279" s="122">
        <f>VLOOKUP(B4279,辅助信息!E:J,6,FALSE)</f>
        <v>0</v>
      </c>
      <c r="M4279" s="91">
        <v>45941</v>
      </c>
      <c r="O4279" s="62">
        <f ca="1" t="shared" si="216"/>
        <v>0</v>
      </c>
      <c r="P4279" s="62">
        <f ca="1" t="shared" si="217"/>
        <v>19</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6" t="s">
        <v>226</v>
      </c>
      <c r="C4280" s="70">
        <v>45940</v>
      </c>
      <c r="D4280" s="120" t="str">
        <f>VLOOKUP(B4280,辅助信息!E:K,7,FALSE)</f>
        <v>JWDDCD2025092400211</v>
      </c>
      <c r="E4280" s="120" t="str">
        <f>VLOOKUP(F4280,辅助信息!A:B,2,FALSE)</f>
        <v>盘螺</v>
      </c>
      <c r="F4280" s="120" t="s">
        <v>40</v>
      </c>
      <c r="G4280" s="121">
        <v>35</v>
      </c>
      <c r="H4280" s="134"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0" t="str">
        <f>VLOOKUP(B4280,辅助信息!E:I,3,FALSE)</f>
        <v>(五冶钢构龙泉东洪片区85亩住宅、商业及配套工程项目二标段)成都市龙泉驿外东洪路地铁2号线惠王陵地铁C口</v>
      </c>
      <c r="J4280" s="120" t="str">
        <f>VLOOKUP(B4280,辅助信息!E:I,4,FALSE)</f>
        <v>李渊</v>
      </c>
      <c r="K4280" s="120">
        <f>VLOOKUP(J4280,辅助信息!H:I,2,FALSE)</f>
        <v>18381013849</v>
      </c>
      <c r="L4280" s="122">
        <f>VLOOKUP(B4280,辅助信息!E:J,6,FALSE)</f>
        <v>0</v>
      </c>
      <c r="M4280" s="91">
        <v>45941</v>
      </c>
      <c r="O4280" s="62">
        <f ca="1" t="shared" si="216"/>
        <v>0</v>
      </c>
      <c r="P4280" s="62">
        <f ca="1" t="shared" si="217"/>
        <v>19</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6" t="s">
        <v>226</v>
      </c>
      <c r="C4281" s="70">
        <v>45940</v>
      </c>
      <c r="D4281" s="120" t="str">
        <f>VLOOKUP(B4281,辅助信息!E:K,7,FALSE)</f>
        <v>JWDDCD2025092400211</v>
      </c>
      <c r="E4281" s="120" t="str">
        <f>VLOOKUP(F4281,辅助信息!A:B,2,FALSE)</f>
        <v>盘螺</v>
      </c>
      <c r="F4281" s="120" t="s">
        <v>41</v>
      </c>
      <c r="G4281" s="121">
        <v>35</v>
      </c>
      <c r="H4281" s="134"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0" t="str">
        <f>VLOOKUP(B4281,辅助信息!E:I,3,FALSE)</f>
        <v>(五冶钢构龙泉东洪片区85亩住宅、商业及配套工程项目二标段)成都市龙泉驿外东洪路地铁2号线惠王陵地铁C口</v>
      </c>
      <c r="J4281" s="120" t="str">
        <f>VLOOKUP(B4281,辅助信息!E:I,4,FALSE)</f>
        <v>李渊</v>
      </c>
      <c r="K4281" s="120">
        <f>VLOOKUP(J4281,辅助信息!H:I,2,FALSE)</f>
        <v>18381013849</v>
      </c>
      <c r="L4281" s="122">
        <f>VLOOKUP(B4281,辅助信息!E:J,6,FALSE)</f>
        <v>0</v>
      </c>
      <c r="M4281" s="91">
        <v>45941</v>
      </c>
      <c r="O4281" s="62">
        <f ca="1" t="shared" si="216"/>
        <v>0</v>
      </c>
      <c r="P4281" s="62">
        <f ca="1" t="shared" si="217"/>
        <v>19</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6" t="s">
        <v>226</v>
      </c>
      <c r="C4282" s="70">
        <v>45940</v>
      </c>
      <c r="D4282" s="120" t="str">
        <f>VLOOKUP(B4282,辅助信息!E:K,7,FALSE)</f>
        <v>JWDDCD2025092400211</v>
      </c>
      <c r="E4282" s="120" t="str">
        <f>VLOOKUP(F4282,辅助信息!A:B,2,FALSE)</f>
        <v>盘螺</v>
      </c>
      <c r="F4282" s="120" t="s">
        <v>26</v>
      </c>
      <c r="G4282" s="121">
        <v>35</v>
      </c>
      <c r="H4282" s="134"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0" t="str">
        <f>VLOOKUP(B4282,辅助信息!E:I,3,FALSE)</f>
        <v>(五冶钢构龙泉东洪片区85亩住宅、商业及配套工程项目二标段)成都市龙泉驿外东洪路地铁2号线惠王陵地铁C口</v>
      </c>
      <c r="J4282" s="120" t="str">
        <f>VLOOKUP(B4282,辅助信息!E:I,4,FALSE)</f>
        <v>李渊</v>
      </c>
      <c r="K4282" s="120">
        <f>VLOOKUP(J4282,辅助信息!H:I,2,FALSE)</f>
        <v>18381013849</v>
      </c>
      <c r="L4282" s="122">
        <f>VLOOKUP(B4282,辅助信息!E:J,6,FALSE)</f>
        <v>0</v>
      </c>
      <c r="M4282" s="91">
        <v>45941</v>
      </c>
      <c r="O4282" s="62">
        <f ca="1" t="shared" si="216"/>
        <v>0</v>
      </c>
      <c r="P4282" s="62">
        <f ca="1" t="shared" si="217"/>
        <v>19</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6" t="s">
        <v>226</v>
      </c>
      <c r="C4283" s="70">
        <v>45940</v>
      </c>
      <c r="D4283" s="120" t="str">
        <f>VLOOKUP(B4283,辅助信息!E:K,7,FALSE)</f>
        <v>JWDDCD2025092400211</v>
      </c>
      <c r="E4283" s="120" t="str">
        <f>VLOOKUP(F4283,辅助信息!A:B,2,FALSE)</f>
        <v>螺纹钢</v>
      </c>
      <c r="F4283" s="120" t="s">
        <v>19</v>
      </c>
      <c r="G4283" s="121">
        <v>35</v>
      </c>
      <c r="H4283" s="134"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0" t="str">
        <f>VLOOKUP(B4283,辅助信息!E:I,3,FALSE)</f>
        <v>(五冶钢构龙泉东洪片区85亩住宅、商业及配套工程项目二标段)成都市龙泉驿外东洪路地铁2号线惠王陵地铁C口</v>
      </c>
      <c r="J4283" s="120" t="str">
        <f>VLOOKUP(B4283,辅助信息!E:I,4,FALSE)</f>
        <v>李渊</v>
      </c>
      <c r="K4283" s="120">
        <f>VLOOKUP(J4283,辅助信息!H:I,2,FALSE)</f>
        <v>18381013849</v>
      </c>
      <c r="L4283" s="122">
        <f>VLOOKUP(B4283,辅助信息!E:J,6,FALSE)</f>
        <v>0</v>
      </c>
      <c r="M4283" s="91">
        <v>45941</v>
      </c>
      <c r="O4283" s="62">
        <f ca="1" t="shared" si="216"/>
        <v>0</v>
      </c>
      <c r="P4283" s="62">
        <f ca="1" t="shared" si="217"/>
        <v>19</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6" t="s">
        <v>226</v>
      </c>
      <c r="C4284" s="70">
        <v>45940</v>
      </c>
      <c r="D4284" s="120" t="str">
        <f>VLOOKUP(B4284,辅助信息!E:K,7,FALSE)</f>
        <v>JWDDCD2025092400211</v>
      </c>
      <c r="E4284" s="120" t="str">
        <f>VLOOKUP(F4284,辅助信息!A:B,2,FALSE)</f>
        <v>螺纹钢</v>
      </c>
      <c r="F4284" s="120" t="s">
        <v>33</v>
      </c>
      <c r="G4284" s="121">
        <v>25</v>
      </c>
      <c r="H4284" s="134"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0" t="str">
        <f>VLOOKUP(B4284,辅助信息!E:I,3,FALSE)</f>
        <v>(五冶钢构龙泉东洪片区85亩住宅、商业及配套工程项目二标段)成都市龙泉驿外东洪路地铁2号线惠王陵地铁C口</v>
      </c>
      <c r="J4284" s="120" t="str">
        <f>VLOOKUP(B4284,辅助信息!E:I,4,FALSE)</f>
        <v>李渊</v>
      </c>
      <c r="K4284" s="120">
        <f>VLOOKUP(J4284,辅助信息!H:I,2,FALSE)</f>
        <v>18381013849</v>
      </c>
      <c r="L4284" s="122">
        <f>VLOOKUP(B4284,辅助信息!E:J,6,FALSE)</f>
        <v>0</v>
      </c>
      <c r="M4284" s="91">
        <v>45941</v>
      </c>
      <c r="O4284" s="62">
        <f ca="1" t="shared" si="216"/>
        <v>0</v>
      </c>
      <c r="P4284" s="62">
        <f ca="1" t="shared" si="217"/>
        <v>19</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6" t="s">
        <v>226</v>
      </c>
      <c r="C4285" s="70">
        <v>45940</v>
      </c>
      <c r="D4285" s="120" t="str">
        <f>VLOOKUP(B4285,辅助信息!E:K,7,FALSE)</f>
        <v>JWDDCD2025092400211</v>
      </c>
      <c r="E4285" s="120" t="str">
        <f>VLOOKUP(F4285,辅助信息!A:B,2,FALSE)</f>
        <v>螺纹钢</v>
      </c>
      <c r="F4285" s="120" t="s">
        <v>28</v>
      </c>
      <c r="G4285" s="121">
        <v>21</v>
      </c>
      <c r="H4285" s="134"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0" t="str">
        <f>VLOOKUP(B4285,辅助信息!E:I,3,FALSE)</f>
        <v>(五冶钢构龙泉东洪片区85亩住宅、商业及配套工程项目二标段)成都市龙泉驿外东洪路地铁2号线惠王陵地铁C口</v>
      </c>
      <c r="J4285" s="120" t="str">
        <f>VLOOKUP(B4285,辅助信息!E:I,4,FALSE)</f>
        <v>李渊</v>
      </c>
      <c r="K4285" s="120">
        <f>VLOOKUP(J4285,辅助信息!H:I,2,FALSE)</f>
        <v>18381013849</v>
      </c>
      <c r="L4285" s="122">
        <f>VLOOKUP(B4285,辅助信息!E:J,6,FALSE)</f>
        <v>0</v>
      </c>
      <c r="M4285" s="91">
        <v>45941</v>
      </c>
      <c r="O4285" s="62">
        <f ca="1" t="shared" si="216"/>
        <v>0</v>
      </c>
      <c r="P4285" s="62">
        <f ca="1" t="shared" si="217"/>
        <v>19</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6" t="s">
        <v>226</v>
      </c>
      <c r="C4286" s="70">
        <v>45940</v>
      </c>
      <c r="D4286" s="120" t="str">
        <f>VLOOKUP(B4286,辅助信息!E:K,7,FALSE)</f>
        <v>JWDDCD2025092400211</v>
      </c>
      <c r="E4286" s="120" t="str">
        <f>VLOOKUP(F4286,辅助信息!A:B,2,FALSE)</f>
        <v>螺纹钢</v>
      </c>
      <c r="F4286" s="120" t="s">
        <v>18</v>
      </c>
      <c r="G4286" s="121">
        <v>9</v>
      </c>
      <c r="H4286" s="134"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0" t="str">
        <f>VLOOKUP(B4286,辅助信息!E:I,3,FALSE)</f>
        <v>(五冶钢构龙泉东洪片区85亩住宅、商业及配套工程项目二标段)成都市龙泉驿外东洪路地铁2号线惠王陵地铁C口</v>
      </c>
      <c r="J4286" s="120" t="str">
        <f>VLOOKUP(B4286,辅助信息!E:I,4,FALSE)</f>
        <v>李渊</v>
      </c>
      <c r="K4286" s="120">
        <f>VLOOKUP(J4286,辅助信息!H:I,2,FALSE)</f>
        <v>18381013849</v>
      </c>
      <c r="L4286" s="122">
        <f>VLOOKUP(B4286,辅助信息!E:J,6,FALSE)</f>
        <v>0</v>
      </c>
      <c r="M4286" s="91">
        <v>45941</v>
      </c>
      <c r="O4286" s="62">
        <f ca="1" t="shared" si="216"/>
        <v>0</v>
      </c>
      <c r="P4286" s="62">
        <f ca="1" t="shared" si="217"/>
        <v>19</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1" t="s">
        <v>234</v>
      </c>
      <c r="B4287" s="136" t="s">
        <v>229</v>
      </c>
      <c r="C4287" s="70">
        <v>45940</v>
      </c>
      <c r="D4287" s="120" t="str">
        <f>VLOOKUP(B4287,辅助信息!E:K,7,FALSE)</f>
        <v>JWDDCD2025092400212</v>
      </c>
      <c r="E4287" s="120" t="str">
        <f>VLOOKUP(F4287,辅助信息!A:B,2,FALSE)</f>
        <v>盘螺</v>
      </c>
      <c r="F4287" s="120" t="s">
        <v>49</v>
      </c>
      <c r="G4287" s="121">
        <v>8</v>
      </c>
      <c r="H4287" s="134"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0" t="str">
        <f>VLOOKUP(B4287,辅助信息!E:I,3,FALSE)</f>
        <v>(五冶钢构龙泉东洪片区85亩住宅、商业及配套工程项目三标段)成都市龙泉驿外东洪路地铁2号线惠王陵地铁C口</v>
      </c>
      <c r="J4287" s="120" t="str">
        <f>VLOOKUP(B4287,辅助信息!E:I,4,FALSE)</f>
        <v>王军宝</v>
      </c>
      <c r="K4287" s="120">
        <f>VLOOKUP(J4287,辅助信息!H:I,2,FALSE)</f>
        <v>13889142392</v>
      </c>
      <c r="L4287" s="122">
        <f>VLOOKUP(B4287,辅助信息!E:J,6,FALSE)</f>
        <v>0</v>
      </c>
      <c r="M4287" s="91">
        <v>45941</v>
      </c>
      <c r="O4287" s="62">
        <f ca="1" t="shared" si="216"/>
        <v>0</v>
      </c>
      <c r="P4287" s="62">
        <f ca="1" t="shared" si="217"/>
        <v>19</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1" t="s">
        <v>234</v>
      </c>
      <c r="B4288" s="136" t="s">
        <v>229</v>
      </c>
      <c r="C4288" s="70">
        <v>45940</v>
      </c>
      <c r="D4288" s="120" t="str">
        <f>VLOOKUP(B4288,辅助信息!E:K,7,FALSE)</f>
        <v>JWDDCD2025092400212</v>
      </c>
      <c r="E4288" s="120" t="str">
        <f>VLOOKUP(F4288,辅助信息!A:B,2,FALSE)</f>
        <v>盘螺</v>
      </c>
      <c r="F4288" s="120" t="s">
        <v>40</v>
      </c>
      <c r="G4288" s="121">
        <v>69</v>
      </c>
      <c r="H4288" s="134"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0" t="str">
        <f>VLOOKUP(B4288,辅助信息!E:I,3,FALSE)</f>
        <v>(五冶钢构龙泉东洪片区85亩住宅、商业及配套工程项目三标段)成都市龙泉驿外东洪路地铁2号线惠王陵地铁C口</v>
      </c>
      <c r="J4288" s="120" t="str">
        <f>VLOOKUP(B4288,辅助信息!E:I,4,FALSE)</f>
        <v>王军宝</v>
      </c>
      <c r="K4288" s="120">
        <f>VLOOKUP(J4288,辅助信息!H:I,2,FALSE)</f>
        <v>13889142392</v>
      </c>
      <c r="L4288" s="122">
        <f>VLOOKUP(B4288,辅助信息!E:J,6,FALSE)</f>
        <v>0</v>
      </c>
      <c r="M4288" s="91">
        <v>45941</v>
      </c>
      <c r="O4288" s="62">
        <f ca="1" t="shared" si="216"/>
        <v>0</v>
      </c>
      <c r="P4288" s="62">
        <f ca="1" t="shared" si="217"/>
        <v>19</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1" t="s">
        <v>234</v>
      </c>
      <c r="B4289" s="136" t="s">
        <v>229</v>
      </c>
      <c r="C4289" s="70">
        <v>45940</v>
      </c>
      <c r="D4289" s="120" t="str">
        <f>VLOOKUP(B4289,辅助信息!E:K,7,FALSE)</f>
        <v>JWDDCD2025092400212</v>
      </c>
      <c r="E4289" s="120" t="str">
        <f>VLOOKUP(F4289,辅助信息!A:B,2,FALSE)</f>
        <v>盘螺</v>
      </c>
      <c r="F4289" s="120" t="s">
        <v>41</v>
      </c>
      <c r="G4289" s="121">
        <v>12</v>
      </c>
      <c r="H4289" s="134"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0" t="str">
        <f>VLOOKUP(B4289,辅助信息!E:I,3,FALSE)</f>
        <v>(五冶钢构龙泉东洪片区85亩住宅、商业及配套工程项目三标段)成都市龙泉驿外东洪路地铁2号线惠王陵地铁C口</v>
      </c>
      <c r="J4289" s="120" t="str">
        <f>VLOOKUP(B4289,辅助信息!E:I,4,FALSE)</f>
        <v>王军宝</v>
      </c>
      <c r="K4289" s="120">
        <f>VLOOKUP(J4289,辅助信息!H:I,2,FALSE)</f>
        <v>13889142392</v>
      </c>
      <c r="L4289" s="122">
        <f>VLOOKUP(B4289,辅助信息!E:J,6,FALSE)</f>
        <v>0</v>
      </c>
      <c r="M4289" s="91">
        <v>45941</v>
      </c>
      <c r="O4289" s="62">
        <f ca="1" t="shared" si="216"/>
        <v>0</v>
      </c>
      <c r="P4289" s="62">
        <f ca="1" t="shared" si="217"/>
        <v>19</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6" t="s">
        <v>229</v>
      </c>
      <c r="C4290" s="70">
        <v>45940</v>
      </c>
      <c r="D4290" s="120" t="str">
        <f>VLOOKUP(B4290,辅助信息!E:K,7,FALSE)</f>
        <v>JWDDCD2025092400212</v>
      </c>
      <c r="E4290" s="120" t="str">
        <f>VLOOKUP(F4290,辅助信息!A:B,2,FALSE)</f>
        <v>螺纹钢</v>
      </c>
      <c r="F4290" s="120" t="s">
        <v>27</v>
      </c>
      <c r="G4290" s="121">
        <v>30</v>
      </c>
      <c r="H4290" s="134"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0" t="str">
        <f>VLOOKUP(B4290,辅助信息!E:I,3,FALSE)</f>
        <v>(五冶钢构龙泉东洪片区85亩住宅、商业及配套工程项目三标段)成都市龙泉驿外东洪路地铁2号线惠王陵地铁C口</v>
      </c>
      <c r="J4290" s="120" t="str">
        <f>VLOOKUP(B4290,辅助信息!E:I,4,FALSE)</f>
        <v>王军宝</v>
      </c>
      <c r="K4290" s="120">
        <f>VLOOKUP(J4290,辅助信息!H:I,2,FALSE)</f>
        <v>13889142392</v>
      </c>
      <c r="L4290" s="122">
        <f>VLOOKUP(B4290,辅助信息!E:J,6,FALSE)</f>
        <v>0</v>
      </c>
      <c r="M4290" s="91">
        <v>45941</v>
      </c>
      <c r="O4290" s="62">
        <f ca="1" t="shared" si="216"/>
        <v>0</v>
      </c>
      <c r="P4290" s="62">
        <f ca="1" t="shared" si="217"/>
        <v>19</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6" t="s">
        <v>229</v>
      </c>
      <c r="C4291" s="70">
        <v>45940</v>
      </c>
      <c r="D4291" s="120" t="str">
        <f>VLOOKUP(B4291,辅助信息!E:K,7,FALSE)</f>
        <v>JWDDCD2025092400212</v>
      </c>
      <c r="E4291" s="120" t="str">
        <f>VLOOKUP(F4291,辅助信息!A:B,2,FALSE)</f>
        <v>螺纹钢</v>
      </c>
      <c r="F4291" s="120" t="s">
        <v>19</v>
      </c>
      <c r="G4291" s="121">
        <v>6</v>
      </c>
      <c r="H4291" s="134"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0" t="str">
        <f>VLOOKUP(B4291,辅助信息!E:I,3,FALSE)</f>
        <v>(五冶钢构龙泉东洪片区85亩住宅、商业及配套工程项目三标段)成都市龙泉驿外东洪路地铁2号线惠王陵地铁C口</v>
      </c>
      <c r="J4291" s="120" t="str">
        <f>VLOOKUP(B4291,辅助信息!E:I,4,FALSE)</f>
        <v>王军宝</v>
      </c>
      <c r="K4291" s="120">
        <f>VLOOKUP(J4291,辅助信息!H:I,2,FALSE)</f>
        <v>13889142392</v>
      </c>
      <c r="L4291" s="122">
        <f>VLOOKUP(B4291,辅助信息!E:J,6,FALSE)</f>
        <v>0</v>
      </c>
      <c r="M4291" s="91">
        <v>45941</v>
      </c>
      <c r="O4291" s="62">
        <f ca="1" t="shared" si="216"/>
        <v>0</v>
      </c>
      <c r="P4291" s="62">
        <f ca="1" t="shared" si="217"/>
        <v>19</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6" t="s">
        <v>229</v>
      </c>
      <c r="C4292" s="70">
        <v>45940</v>
      </c>
      <c r="D4292" s="120" t="str">
        <f>VLOOKUP(B4292,辅助信息!E:K,7,FALSE)</f>
        <v>JWDDCD2025092400212</v>
      </c>
      <c r="E4292" s="120" t="str">
        <f>VLOOKUP(F4292,辅助信息!A:B,2,FALSE)</f>
        <v>螺纹钢</v>
      </c>
      <c r="F4292" s="120" t="s">
        <v>32</v>
      </c>
      <c r="G4292" s="121">
        <v>10</v>
      </c>
      <c r="H4292" s="134"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0" t="str">
        <f>VLOOKUP(B4292,辅助信息!E:I,3,FALSE)</f>
        <v>(五冶钢构龙泉东洪片区85亩住宅、商业及配套工程项目三标段)成都市龙泉驿外东洪路地铁2号线惠王陵地铁C口</v>
      </c>
      <c r="J4292" s="120" t="str">
        <f>VLOOKUP(B4292,辅助信息!E:I,4,FALSE)</f>
        <v>王军宝</v>
      </c>
      <c r="K4292" s="120">
        <f>VLOOKUP(J4292,辅助信息!H:I,2,FALSE)</f>
        <v>13889142392</v>
      </c>
      <c r="L4292" s="122">
        <f>VLOOKUP(B4292,辅助信息!E:J,6,FALSE)</f>
        <v>0</v>
      </c>
      <c r="M4292" s="91">
        <v>45941</v>
      </c>
      <c r="O4292" s="62">
        <f ca="1" t="shared" si="216"/>
        <v>0</v>
      </c>
      <c r="P4292" s="62">
        <f ca="1" t="shared" si="217"/>
        <v>19</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6" t="s">
        <v>229</v>
      </c>
      <c r="C4293" s="70">
        <v>45940</v>
      </c>
      <c r="D4293" s="120" t="str">
        <f>VLOOKUP(B4293,辅助信息!E:K,7,FALSE)</f>
        <v>JWDDCD2025092400212</v>
      </c>
      <c r="E4293" s="120" t="str">
        <f>VLOOKUP(F4293,辅助信息!A:B,2,FALSE)</f>
        <v>螺纹钢</v>
      </c>
      <c r="F4293" s="120" t="s">
        <v>30</v>
      </c>
      <c r="G4293" s="121">
        <v>14</v>
      </c>
      <c r="H4293" s="134"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0" t="str">
        <f>VLOOKUP(B4293,辅助信息!E:I,3,FALSE)</f>
        <v>(五冶钢构龙泉东洪片区85亩住宅、商业及配套工程项目三标段)成都市龙泉驿外东洪路地铁2号线惠王陵地铁C口</v>
      </c>
      <c r="J4293" s="120" t="str">
        <f>VLOOKUP(B4293,辅助信息!E:I,4,FALSE)</f>
        <v>王军宝</v>
      </c>
      <c r="K4293" s="120">
        <f>VLOOKUP(J4293,辅助信息!H:I,2,FALSE)</f>
        <v>13889142392</v>
      </c>
      <c r="L4293" s="122">
        <f>VLOOKUP(B4293,辅助信息!E:J,6,FALSE)</f>
        <v>0</v>
      </c>
      <c r="M4293" s="91">
        <v>45941</v>
      </c>
      <c r="O4293" s="62">
        <f ca="1" t="shared" si="216"/>
        <v>0</v>
      </c>
      <c r="P4293" s="62">
        <f ca="1" t="shared" si="217"/>
        <v>19</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6" t="s">
        <v>229</v>
      </c>
      <c r="C4294" s="70">
        <v>45940</v>
      </c>
      <c r="D4294" s="120" t="str">
        <f>VLOOKUP(B4294,辅助信息!E:K,7,FALSE)</f>
        <v>JWDDCD2025092400212</v>
      </c>
      <c r="E4294" s="120" t="str">
        <f>VLOOKUP(F4294,辅助信息!A:B,2,FALSE)</f>
        <v>螺纹钢</v>
      </c>
      <c r="F4294" s="120" t="s">
        <v>33</v>
      </c>
      <c r="G4294" s="121">
        <v>15</v>
      </c>
      <c r="H4294" s="134"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0" t="str">
        <f>VLOOKUP(B4294,辅助信息!E:I,3,FALSE)</f>
        <v>(五冶钢构龙泉东洪片区85亩住宅、商业及配套工程项目三标段)成都市龙泉驿外东洪路地铁2号线惠王陵地铁C口</v>
      </c>
      <c r="J4294" s="120" t="str">
        <f>VLOOKUP(B4294,辅助信息!E:I,4,FALSE)</f>
        <v>王军宝</v>
      </c>
      <c r="K4294" s="120">
        <f>VLOOKUP(J4294,辅助信息!H:I,2,FALSE)</f>
        <v>13889142392</v>
      </c>
      <c r="L4294" s="122">
        <f>VLOOKUP(B4294,辅助信息!E:J,6,FALSE)</f>
        <v>0</v>
      </c>
      <c r="M4294" s="91">
        <v>45941</v>
      </c>
      <c r="O4294" s="62">
        <f ca="1" t="shared" si="216"/>
        <v>0</v>
      </c>
      <c r="P4294" s="62">
        <f ca="1" t="shared" si="217"/>
        <v>19</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6" t="s">
        <v>229</v>
      </c>
      <c r="C4295" s="70">
        <v>45940</v>
      </c>
      <c r="D4295" s="120" t="str">
        <f>VLOOKUP(B4295,辅助信息!E:K,7,FALSE)</f>
        <v>JWDDCD2025092400212</v>
      </c>
      <c r="E4295" s="120" t="str">
        <f>VLOOKUP(F4295,辅助信息!A:B,2,FALSE)</f>
        <v>螺纹钢</v>
      </c>
      <c r="F4295" s="120" t="s">
        <v>28</v>
      </c>
      <c r="G4295" s="121">
        <v>8</v>
      </c>
      <c r="H4295" s="134"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0" t="str">
        <f>VLOOKUP(B4295,辅助信息!E:I,3,FALSE)</f>
        <v>(五冶钢构龙泉东洪片区85亩住宅、商业及配套工程项目三标段)成都市龙泉驿外东洪路地铁2号线惠王陵地铁C口</v>
      </c>
      <c r="J4295" s="120" t="str">
        <f>VLOOKUP(B4295,辅助信息!E:I,4,FALSE)</f>
        <v>王军宝</v>
      </c>
      <c r="K4295" s="120">
        <f>VLOOKUP(J4295,辅助信息!H:I,2,FALSE)</f>
        <v>13889142392</v>
      </c>
      <c r="L4295" s="122">
        <f>VLOOKUP(B4295,辅助信息!E:J,6,FALSE)</f>
        <v>0</v>
      </c>
      <c r="M4295" s="91">
        <v>45941</v>
      </c>
      <c r="O4295" s="62">
        <f ca="1" t="shared" si="216"/>
        <v>0</v>
      </c>
      <c r="P4295" s="62">
        <f ca="1" t="shared" si="217"/>
        <v>19</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6" t="s">
        <v>229</v>
      </c>
      <c r="C4296" s="70">
        <v>45940</v>
      </c>
      <c r="D4296" s="120" t="str">
        <f>VLOOKUP(B4296,辅助信息!E:K,7,FALSE)</f>
        <v>JWDDCD2025092400212</v>
      </c>
      <c r="E4296" s="120" t="str">
        <f>VLOOKUP(F4296,辅助信息!A:B,2,FALSE)</f>
        <v>螺纹钢</v>
      </c>
      <c r="F4296" s="120" t="s">
        <v>18</v>
      </c>
      <c r="G4296" s="121">
        <v>2</v>
      </c>
      <c r="H4296" s="134"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0" t="str">
        <f>VLOOKUP(B4296,辅助信息!E:I,3,FALSE)</f>
        <v>(五冶钢构龙泉东洪片区85亩住宅、商业及配套工程项目三标段)成都市龙泉驿外东洪路地铁2号线惠王陵地铁C口</v>
      </c>
      <c r="J4296" s="120" t="str">
        <f>VLOOKUP(B4296,辅助信息!E:I,4,FALSE)</f>
        <v>王军宝</v>
      </c>
      <c r="K4296" s="120">
        <f>VLOOKUP(J4296,辅助信息!H:I,2,FALSE)</f>
        <v>13889142392</v>
      </c>
      <c r="L4296" s="122">
        <f>VLOOKUP(B4296,辅助信息!E:J,6,FALSE)</f>
        <v>0</v>
      </c>
      <c r="M4296" s="91">
        <v>45941</v>
      </c>
      <c r="O4296" s="62">
        <f ca="1" t="shared" si="216"/>
        <v>0</v>
      </c>
      <c r="P4296" s="62">
        <f ca="1" t="shared" si="217"/>
        <v>19</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6" t="s">
        <v>228</v>
      </c>
      <c r="C4297" s="70">
        <v>45940</v>
      </c>
      <c r="D4297" s="120" t="str">
        <f>VLOOKUP(B4297,辅助信息!E:K,7,FALSE)</f>
        <v>JWDDCD2025092400190</v>
      </c>
      <c r="E4297" s="120" t="str">
        <f>VLOOKUP(F4297,辅助信息!A:B,2,FALSE)</f>
        <v>盘螺</v>
      </c>
      <c r="F4297" s="120" t="s">
        <v>40</v>
      </c>
      <c r="G4297" s="121">
        <v>18</v>
      </c>
      <c r="H4297" s="134"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0" t="str">
        <f>VLOOKUP(B4297,辅助信息!E:I,3,FALSE)</f>
        <v>(五冶钢构龙泉东洪片区70亩住宅、商业及配套工程项目二标段)成都市龙泉驿外东洪路地铁2号线惠王陵地铁C口</v>
      </c>
      <c r="J4297" s="120" t="str">
        <f>VLOOKUP(B4297,辅助信息!E:I,4,FALSE)</f>
        <v>蒋嗣伟</v>
      </c>
      <c r="K4297" s="120">
        <f>VLOOKUP(J4297,辅助信息!H:I,2,FALSE)</f>
        <v>15014331252</v>
      </c>
      <c r="L4297" s="122">
        <f>VLOOKUP(B4297,辅助信息!E:J,6,FALSE)</f>
        <v>0</v>
      </c>
      <c r="M4297" s="91">
        <v>45941</v>
      </c>
      <c r="O4297" s="62">
        <f ca="1" t="shared" si="216"/>
        <v>0</v>
      </c>
      <c r="P4297" s="62">
        <f ca="1" t="shared" si="217"/>
        <v>19</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6" t="s">
        <v>228</v>
      </c>
      <c r="C4298" s="70">
        <v>45940</v>
      </c>
      <c r="D4298" s="120" t="str">
        <f>VLOOKUP(B4298,辅助信息!E:K,7,FALSE)</f>
        <v>JWDDCD2025092400190</v>
      </c>
      <c r="E4298" s="120" t="str">
        <f>VLOOKUP(F4298,辅助信息!A:B,2,FALSE)</f>
        <v>盘螺</v>
      </c>
      <c r="F4298" s="120" t="s">
        <v>41</v>
      </c>
      <c r="G4298" s="121">
        <v>35</v>
      </c>
      <c r="H4298" s="134"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0" t="str">
        <f>VLOOKUP(B4298,辅助信息!E:I,3,FALSE)</f>
        <v>(五冶钢构龙泉东洪片区70亩住宅、商业及配套工程项目二标段)成都市龙泉驿外东洪路地铁2号线惠王陵地铁C口</v>
      </c>
      <c r="J4298" s="120" t="str">
        <f>VLOOKUP(B4298,辅助信息!E:I,4,FALSE)</f>
        <v>蒋嗣伟</v>
      </c>
      <c r="K4298" s="120">
        <f>VLOOKUP(J4298,辅助信息!H:I,2,FALSE)</f>
        <v>15014331252</v>
      </c>
      <c r="L4298" s="122">
        <f>VLOOKUP(B4298,辅助信息!E:J,6,FALSE)</f>
        <v>0</v>
      </c>
      <c r="M4298" s="91">
        <v>45941</v>
      </c>
      <c r="O4298" s="62">
        <f ca="1" t="shared" si="216"/>
        <v>0</v>
      </c>
      <c r="P4298" s="62">
        <f ca="1" t="shared" si="217"/>
        <v>19</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6" t="s">
        <v>228</v>
      </c>
      <c r="C4299" s="70">
        <v>45940</v>
      </c>
      <c r="D4299" s="120" t="str">
        <f>VLOOKUP(B4299,辅助信息!E:K,7,FALSE)</f>
        <v>JWDDCD2025092400190</v>
      </c>
      <c r="E4299" s="120" t="str">
        <f>VLOOKUP(F4299,辅助信息!A:B,2,FALSE)</f>
        <v>盘螺</v>
      </c>
      <c r="F4299" s="120" t="s">
        <v>26</v>
      </c>
      <c r="G4299" s="121">
        <v>17</v>
      </c>
      <c r="H4299" s="134"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0" t="str">
        <f>VLOOKUP(B4299,辅助信息!E:I,3,FALSE)</f>
        <v>(五冶钢构龙泉东洪片区70亩住宅、商业及配套工程项目二标段)成都市龙泉驿外东洪路地铁2号线惠王陵地铁C口</v>
      </c>
      <c r="J4299" s="120" t="str">
        <f>VLOOKUP(B4299,辅助信息!E:I,4,FALSE)</f>
        <v>蒋嗣伟</v>
      </c>
      <c r="K4299" s="120">
        <f>VLOOKUP(J4299,辅助信息!H:I,2,FALSE)</f>
        <v>15014331252</v>
      </c>
      <c r="L4299" s="122">
        <f>VLOOKUP(B4299,辅助信息!E:J,6,FALSE)</f>
        <v>0</v>
      </c>
      <c r="M4299" s="91">
        <v>45941</v>
      </c>
      <c r="O4299" s="62">
        <f ca="1" t="shared" si="216"/>
        <v>0</v>
      </c>
      <c r="P4299" s="62">
        <f ca="1" t="shared" si="217"/>
        <v>19</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8" t="s">
        <v>235</v>
      </c>
      <c r="B4300" s="136" t="s">
        <v>169</v>
      </c>
      <c r="C4300" s="70">
        <v>45940</v>
      </c>
      <c r="D4300" s="120" t="str">
        <f>VLOOKUP(B4300,辅助信息!E:K,7,FALSE)</f>
        <v>JWDDCD2025051800044</v>
      </c>
      <c r="E4300" s="120" t="str">
        <f>VLOOKUP(F4300,辅助信息!A:B,2,FALSE)</f>
        <v>高线</v>
      </c>
      <c r="F4300" s="120" t="s">
        <v>51</v>
      </c>
      <c r="G4300" s="121">
        <v>32</v>
      </c>
      <c r="H4300" s="134">
        <v>32</v>
      </c>
      <c r="I4300" s="120" t="str">
        <f>VLOOKUP(B4300,辅助信息!E:I,3,FALSE)</f>
        <v>(五冶建设龙泉芙蓉花语项目-1,3地块)龙泉驿区北川路双堰塘钓鱼东100米(北川路)</v>
      </c>
      <c r="J4300" s="120" t="str">
        <f>VLOOKUP(B4300,辅助信息!E:I,4,FALSE)</f>
        <v>祝斯阳</v>
      </c>
      <c r="K4300" s="120">
        <f>VLOOKUP(J4300,辅助信息!H:I,2,FALSE)</f>
        <v>15583590797</v>
      </c>
      <c r="L4300" s="122"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1">
        <v>45941</v>
      </c>
      <c r="O4300" s="62">
        <f ca="1" t="shared" si="216"/>
        <v>0</v>
      </c>
      <c r="P4300" s="62">
        <f ca="1" t="shared" si="217"/>
        <v>19</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8" t="s">
        <v>236</v>
      </c>
      <c r="B4301" s="136" t="s">
        <v>169</v>
      </c>
      <c r="C4301" s="70">
        <v>45940</v>
      </c>
      <c r="D4301" s="120" t="str">
        <f>VLOOKUP(B4301,辅助信息!E:K,7,FALSE)</f>
        <v>JWDDCD2025051800044</v>
      </c>
      <c r="E4301" s="120" t="str">
        <f>VLOOKUP(F4301,辅助信息!A:B,2,FALSE)</f>
        <v>螺纹钢</v>
      </c>
      <c r="F4301" s="120" t="s">
        <v>28</v>
      </c>
      <c r="G4301" s="121">
        <v>35</v>
      </c>
      <c r="H4301" s="134">
        <v>35</v>
      </c>
      <c r="I4301" s="120" t="str">
        <f>VLOOKUP(B4301,辅助信息!E:I,3,FALSE)</f>
        <v>(五冶建设龙泉芙蓉花语项目-1,3地块)龙泉驿区北川路双堰塘钓鱼东100米(北川路)</v>
      </c>
      <c r="J4301" s="120" t="str">
        <f>VLOOKUP(B4301,辅助信息!E:I,4,FALSE)</f>
        <v>祝斯阳</v>
      </c>
      <c r="K4301" s="120">
        <f>VLOOKUP(J4301,辅助信息!H:I,2,FALSE)</f>
        <v>15583590797</v>
      </c>
      <c r="L4301" s="122"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1">
        <v>45941</v>
      </c>
      <c r="O4301" s="62">
        <f ca="1" t="shared" si="216"/>
        <v>0</v>
      </c>
      <c r="P4301" s="62">
        <f ca="1" t="shared" si="217"/>
        <v>19</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8" t="s">
        <v>237</v>
      </c>
      <c r="B4302" s="136" t="s">
        <v>169</v>
      </c>
      <c r="C4302" s="70">
        <v>45940</v>
      </c>
      <c r="D4302" s="120" t="str">
        <f>VLOOKUP(B4302,辅助信息!E:K,7,FALSE)</f>
        <v>JWDDCD2025051800044</v>
      </c>
      <c r="E4302" s="120" t="str">
        <f>VLOOKUP(F4302,辅助信息!A:B,2,FALSE)</f>
        <v>螺纹钢</v>
      </c>
      <c r="F4302" s="120" t="s">
        <v>28</v>
      </c>
      <c r="G4302" s="121">
        <v>35</v>
      </c>
      <c r="H4302" s="134">
        <v>35</v>
      </c>
      <c r="I4302" s="120" t="str">
        <f>VLOOKUP(B4302,辅助信息!E:I,3,FALSE)</f>
        <v>(五冶建设龙泉芙蓉花语项目-1,3地块)龙泉驿区北川路双堰塘钓鱼东100米(北川路)</v>
      </c>
      <c r="J4302" s="120" t="str">
        <f>VLOOKUP(B4302,辅助信息!E:I,4,FALSE)</f>
        <v>祝斯阳</v>
      </c>
      <c r="K4302" s="120">
        <f>VLOOKUP(J4302,辅助信息!H:I,2,FALSE)</f>
        <v>15583590797</v>
      </c>
      <c r="L4302" s="122"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1">
        <v>45941</v>
      </c>
      <c r="O4302" s="62">
        <f ca="1" t="shared" si="216"/>
        <v>0</v>
      </c>
      <c r="P4302" s="62">
        <f ca="1" t="shared" si="217"/>
        <v>19</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6" t="s">
        <v>192</v>
      </c>
      <c r="C4303" s="70">
        <v>45940</v>
      </c>
      <c r="D4303" s="120" t="str">
        <f>VLOOKUP(B4303,辅助信息!E:K,7,FALSE)</f>
        <v>JWDDCD2025102100475</v>
      </c>
      <c r="E4303" s="120" t="str">
        <f>VLOOKUP(F4303,辅助信息!A:B,2,FALSE)</f>
        <v>盘螺</v>
      </c>
      <c r="F4303" s="120" t="s">
        <v>40</v>
      </c>
      <c r="G4303" s="121">
        <v>12.5</v>
      </c>
      <c r="H4303" s="134">
        <f>IF(SUMIFS('[1]2025年已发货'!$E:$E,'[1]2025年已发货'!$F:$F,C4303,'[1]2025年已发货'!$C:$C,F4303,'[1]2025年已发货'!$G:$G,I4303,'[1]2025年已发货'!$H:$H,J4303)=0,"未发货",SUMIFS('[1]2025年已发货'!$E:$E,'[1]2025年已发货'!$F:$F,C4303,'[1]2025年已发货'!$C:$C,F4303,'[1]2025年已发货'!$G:$G,I4303,'[1]2025年已发货'!$H:$H,J4303))</f>
        <v>12.5</v>
      </c>
      <c r="I4303" s="120" t="str">
        <f>VLOOKUP(B4303,辅助信息!E:I,3,FALSE)</f>
        <v>(五冶建设成都国际铁路港多式联项目)四川省成都市青白江区桂平大道成都中远海运陆港多式联运有限公司</v>
      </c>
      <c r="J4303" s="120" t="str">
        <f>VLOOKUP(B4303,辅助信息!E:I,4,FALSE)</f>
        <v>黄勇杰</v>
      </c>
      <c r="K4303" s="120">
        <f>VLOOKUP(J4303,辅助信息!H:I,2,FALSE)</f>
        <v>13880580196</v>
      </c>
      <c r="L4303" s="122"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1">
        <v>45941</v>
      </c>
      <c r="O4303" s="62">
        <f ca="1" t="shared" si="216"/>
        <v>0</v>
      </c>
      <c r="P4303" s="62">
        <f ca="1" t="shared" si="217"/>
        <v>19</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6" t="s">
        <v>192</v>
      </c>
      <c r="C4304" s="70">
        <v>45940</v>
      </c>
      <c r="D4304" s="120" t="str">
        <f>VLOOKUP(B4304,辅助信息!E:K,7,FALSE)</f>
        <v>JWDDCD2025102100475</v>
      </c>
      <c r="E4304" s="120" t="str">
        <f>VLOOKUP(F4304,辅助信息!A:B,2,FALSE)</f>
        <v>盘螺</v>
      </c>
      <c r="F4304" s="120" t="s">
        <v>26</v>
      </c>
      <c r="G4304" s="121">
        <v>12.5</v>
      </c>
      <c r="H4304" s="134">
        <f>IF(SUMIFS('[1]2025年已发货'!$E:$E,'[1]2025年已发货'!$F:$F,C4304,'[1]2025年已发货'!$C:$C,F4304,'[1]2025年已发货'!$G:$G,I4304,'[1]2025年已发货'!$H:$H,J4304)=0,"未发货",SUMIFS('[1]2025年已发货'!$E:$E,'[1]2025年已发货'!$F:$F,C4304,'[1]2025年已发货'!$C:$C,F4304,'[1]2025年已发货'!$G:$G,I4304,'[1]2025年已发货'!$H:$H,J4304))</f>
        <v>12.5</v>
      </c>
      <c r="I4304" s="120" t="str">
        <f>VLOOKUP(B4304,辅助信息!E:I,3,FALSE)</f>
        <v>(五冶建设成都国际铁路港多式联项目)四川省成都市青白江区桂平大道成都中远海运陆港多式联运有限公司</v>
      </c>
      <c r="J4304" s="120" t="str">
        <f>VLOOKUP(B4304,辅助信息!E:I,4,FALSE)</f>
        <v>黄勇杰</v>
      </c>
      <c r="K4304" s="120">
        <f>VLOOKUP(J4304,辅助信息!H:I,2,FALSE)</f>
        <v>13880580196</v>
      </c>
      <c r="L4304" s="122"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1">
        <v>45941</v>
      </c>
      <c r="O4304" s="62">
        <f ca="1" t="shared" si="216"/>
        <v>0</v>
      </c>
      <c r="P4304" s="62">
        <f ca="1" t="shared" si="217"/>
        <v>19</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6" t="s">
        <v>192</v>
      </c>
      <c r="C4305" s="70">
        <v>45940</v>
      </c>
      <c r="D4305" s="120" t="str">
        <f>VLOOKUP(B4305,辅助信息!E:K,7,FALSE)</f>
        <v>JWDDCD2025102100475</v>
      </c>
      <c r="E4305" s="120" t="str">
        <f>VLOOKUP(F4305,辅助信息!A:B,2,FALSE)</f>
        <v>螺纹钢</v>
      </c>
      <c r="F4305" s="120" t="s">
        <v>65</v>
      </c>
      <c r="G4305" s="121">
        <v>10</v>
      </c>
      <c r="H4305" s="134">
        <f>IF(SUMIFS('[1]2025年已发货'!$E:$E,'[1]2025年已发货'!$F:$F,C4305,'[1]2025年已发货'!$C:$C,F4305,'[1]2025年已发货'!$G:$G,I4305,'[1]2025年已发货'!$H:$H,J4305)=0,"未发货",SUMIFS('[1]2025年已发货'!$E:$E,'[1]2025年已发货'!$F:$F,C4305,'[1]2025年已发货'!$C:$C,F4305,'[1]2025年已发货'!$G:$G,I4305,'[1]2025年已发货'!$H:$H,J4305))</f>
        <v>10</v>
      </c>
      <c r="I4305" s="120" t="str">
        <f>VLOOKUP(B4305,辅助信息!E:I,3,FALSE)</f>
        <v>(五冶建设成都国际铁路港多式联项目)四川省成都市青白江区桂平大道成都中远海运陆港多式联运有限公司</v>
      </c>
      <c r="J4305" s="120" t="str">
        <f>VLOOKUP(B4305,辅助信息!E:I,4,FALSE)</f>
        <v>黄勇杰</v>
      </c>
      <c r="K4305" s="120">
        <f>VLOOKUP(J4305,辅助信息!H:I,2,FALSE)</f>
        <v>13880580196</v>
      </c>
      <c r="L4305" s="122"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1">
        <v>45941</v>
      </c>
      <c r="O4305" s="62">
        <f ca="1" t="shared" si="216"/>
        <v>0</v>
      </c>
      <c r="P4305" s="62">
        <f ca="1" t="shared" si="217"/>
        <v>19</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6" t="s">
        <v>231</v>
      </c>
      <c r="C4306" s="70">
        <v>45940</v>
      </c>
      <c r="D4306" s="120" t="str">
        <f>VLOOKUP(B4306,辅助信息!E:K,7,FALSE)</f>
        <v>JWDDCD2025102100481</v>
      </c>
      <c r="E4306" s="120" t="str">
        <f>VLOOKUP(F4306,辅助信息!A:B,2,FALSE)</f>
        <v>盘螺</v>
      </c>
      <c r="F4306" s="120" t="s">
        <v>40</v>
      </c>
      <c r="G4306" s="121">
        <v>2</v>
      </c>
      <c r="H4306" s="134">
        <v>2</v>
      </c>
      <c r="I4306" s="120" t="str">
        <f>VLOOKUP(B4306,辅助信息!E:I,3,FALSE)</f>
        <v>(五冶建设成都盐道街中学初中部改扩建工程-一标)四川省成都市锦江区春熙路街道盐道街4号（盐道街中学初中部）</v>
      </c>
      <c r="J4306" s="120" t="str">
        <f>VLOOKUP(B4306,辅助信息!E:I,4,FALSE)</f>
        <v>谢鑫</v>
      </c>
      <c r="K4306" s="120">
        <f>VLOOKUP(J4306,辅助信息!H:I,2,FALSE)</f>
        <v>18228465067</v>
      </c>
      <c r="L4306" s="122" t="str">
        <f>VLOOKUP(B4306,辅助信息!E:J,6,FALSE)</f>
        <v>联系实际收货人（易前刚18228465067）五冶建设送货单,6份材质书,锈货不收，装货前联系收货人核实到场规格,没提前告知进场规格现场不给予接收</v>
      </c>
      <c r="O4306" s="62" t="str">
        <f ca="1" t="shared" si="216"/>
        <v/>
      </c>
      <c r="P4306" s="62"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6" t="s">
        <v>231</v>
      </c>
      <c r="C4307" s="70">
        <v>45940</v>
      </c>
      <c r="D4307" s="120" t="str">
        <f>VLOOKUP(B4307,辅助信息!E:K,7,FALSE)</f>
        <v>JWDDCD2025102100481</v>
      </c>
      <c r="E4307" s="120" t="str">
        <f>VLOOKUP(F4307,辅助信息!A:B,2,FALSE)</f>
        <v>盘螺</v>
      </c>
      <c r="F4307" s="120" t="s">
        <v>26</v>
      </c>
      <c r="G4307" s="121">
        <v>12</v>
      </c>
      <c r="H4307" s="134">
        <v>12</v>
      </c>
      <c r="I4307" s="120" t="str">
        <f>VLOOKUP(B4307,辅助信息!E:I,3,FALSE)</f>
        <v>(五冶建设成都盐道街中学初中部改扩建工程-一标)四川省成都市锦江区春熙路街道盐道街4号（盐道街中学初中部）</v>
      </c>
      <c r="J4307" s="120" t="str">
        <f>VLOOKUP(B4307,辅助信息!E:I,4,FALSE)</f>
        <v>谢鑫</v>
      </c>
      <c r="K4307" s="120">
        <f>VLOOKUP(J4307,辅助信息!H:I,2,FALSE)</f>
        <v>18228465067</v>
      </c>
      <c r="L4307" s="122" t="str">
        <f>VLOOKUP(B4307,辅助信息!E:J,6,FALSE)</f>
        <v>联系实际收货人（易前刚18228465067）五冶建设送货单,6份材质书,锈货不收，装货前联系收货人核实到场规格,没提前告知进场规格现场不给予接收</v>
      </c>
      <c r="O4307" s="62" t="str">
        <f ca="1" t="shared" si="216"/>
        <v/>
      </c>
      <c r="P4307" s="62"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6" t="s">
        <v>231</v>
      </c>
      <c r="C4308" s="70">
        <v>45940</v>
      </c>
      <c r="D4308" s="120" t="str">
        <f>VLOOKUP(B4308,辅助信息!E:K,7,FALSE)</f>
        <v>JWDDCD2025102100481</v>
      </c>
      <c r="E4308" s="120" t="str">
        <f>VLOOKUP(F4308,辅助信息!A:B,2,FALSE)</f>
        <v>螺纹钢</v>
      </c>
      <c r="F4308" s="120" t="s">
        <v>30</v>
      </c>
      <c r="G4308" s="121">
        <v>3</v>
      </c>
      <c r="H4308" s="134">
        <v>3</v>
      </c>
      <c r="I4308" s="120" t="str">
        <f>VLOOKUP(B4308,辅助信息!E:I,3,FALSE)</f>
        <v>(五冶建设成都盐道街中学初中部改扩建工程-一标)四川省成都市锦江区春熙路街道盐道街4号（盐道街中学初中部）</v>
      </c>
      <c r="J4308" s="120" t="str">
        <f>VLOOKUP(B4308,辅助信息!E:I,4,FALSE)</f>
        <v>谢鑫</v>
      </c>
      <c r="K4308" s="120">
        <f>VLOOKUP(J4308,辅助信息!H:I,2,FALSE)</f>
        <v>18228465067</v>
      </c>
      <c r="L4308" s="122" t="str">
        <f>VLOOKUP(B4308,辅助信息!E:J,6,FALSE)</f>
        <v>联系实际收货人（易前刚18228465067）五冶建设送货单,6份材质书,锈货不收，装货前联系收货人核实到场规格,没提前告知进场规格现场不给予接收</v>
      </c>
      <c r="O4308" s="62" t="str">
        <f ca="1" t="shared" si="216"/>
        <v/>
      </c>
      <c r="P4308" s="62"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6" t="s">
        <v>231</v>
      </c>
      <c r="C4309" s="70">
        <v>45940</v>
      </c>
      <c r="D4309" s="120" t="str">
        <f>VLOOKUP(B4309,辅助信息!E:K,7,FALSE)</f>
        <v>JWDDCD2025102100481</v>
      </c>
      <c r="E4309" s="120" t="str">
        <f>VLOOKUP(F4309,辅助信息!A:B,2,FALSE)</f>
        <v>螺纹钢</v>
      </c>
      <c r="F4309" s="120" t="s">
        <v>28</v>
      </c>
      <c r="G4309" s="121">
        <v>6</v>
      </c>
      <c r="H4309" s="134">
        <v>6</v>
      </c>
      <c r="I4309" s="120" t="str">
        <f>VLOOKUP(B4309,辅助信息!E:I,3,FALSE)</f>
        <v>(五冶建设成都盐道街中学初中部改扩建工程-一标)四川省成都市锦江区春熙路街道盐道街4号（盐道街中学初中部）</v>
      </c>
      <c r="J4309" s="120" t="str">
        <f>VLOOKUP(B4309,辅助信息!E:I,4,FALSE)</f>
        <v>谢鑫</v>
      </c>
      <c r="K4309" s="120">
        <f>VLOOKUP(J4309,辅助信息!H:I,2,FALSE)</f>
        <v>18228465067</v>
      </c>
      <c r="L4309" s="122" t="str">
        <f>VLOOKUP(B4309,辅助信息!E:J,6,FALSE)</f>
        <v>联系实际收货人（易前刚18228465067）五冶建设送货单,6份材质书,锈货不收，装货前联系收货人核实到场规格,没提前告知进场规格现场不给予接收</v>
      </c>
      <c r="O4309" s="62" t="str">
        <f ca="1" t="shared" si="216"/>
        <v/>
      </c>
      <c r="P4309" s="62"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6" t="s">
        <v>231</v>
      </c>
      <c r="C4310" s="70">
        <v>45940</v>
      </c>
      <c r="D4310" s="120" t="str">
        <f>VLOOKUP(B4310,辅助信息!E:K,7,FALSE)</f>
        <v>JWDDCD2025102100481</v>
      </c>
      <c r="E4310" s="120" t="str">
        <f>VLOOKUP(F4310,辅助信息!A:B,2,FALSE)</f>
        <v>螺纹钢</v>
      </c>
      <c r="F4310" s="120" t="s">
        <v>65</v>
      </c>
      <c r="G4310" s="121">
        <v>12</v>
      </c>
      <c r="H4310" s="134">
        <v>12</v>
      </c>
      <c r="I4310" s="120" t="str">
        <f>VLOOKUP(B4310,辅助信息!E:I,3,FALSE)</f>
        <v>(五冶建设成都盐道街中学初中部改扩建工程-一标)四川省成都市锦江区春熙路街道盐道街4号（盐道街中学初中部）</v>
      </c>
      <c r="J4310" s="120" t="str">
        <f>VLOOKUP(B4310,辅助信息!E:I,4,FALSE)</f>
        <v>谢鑫</v>
      </c>
      <c r="K4310" s="120">
        <f>VLOOKUP(J4310,辅助信息!H:I,2,FALSE)</f>
        <v>18228465067</v>
      </c>
      <c r="L4310" s="122" t="str">
        <f>VLOOKUP(B4310,辅助信息!E:J,6,FALSE)</f>
        <v>联系实际收货人（易前刚18228465067）五冶建设送货单,6份材质书,锈货不收，装货前联系收货人核实到场规格,没提前告知进场规格现场不给予接收</v>
      </c>
      <c r="O4310" s="62" t="str">
        <f ca="1" t="shared" si="216"/>
        <v/>
      </c>
      <c r="P4310" s="62"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6" t="s">
        <v>112</v>
      </c>
      <c r="C4311" s="70">
        <v>45940</v>
      </c>
      <c r="D4311" s="120" t="str">
        <f>VLOOKUP(B4311,辅助信息!E:K,7,FALSE)</f>
        <v>JWDDCD2025052800131</v>
      </c>
      <c r="E4311" s="120" t="str">
        <f>VLOOKUP(F4311,辅助信息!A:B,2,FALSE)</f>
        <v>盘螺</v>
      </c>
      <c r="F4311" s="120" t="s">
        <v>49</v>
      </c>
      <c r="G4311" s="121">
        <v>12</v>
      </c>
      <c r="H4311" s="134"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0" t="str">
        <f>VLOOKUP(B4311,辅助信息!E:I,3,FALSE)</f>
        <v>（商投建工达州中医药科技园-4工区-10号楼）达州市通川区达州中医药职业学院犀牛大道北段</v>
      </c>
      <c r="J4311" s="120" t="str">
        <f>VLOOKUP(B4311,辅助信息!E:I,4,FALSE)</f>
        <v>张扬</v>
      </c>
      <c r="K4311" s="120">
        <f>VLOOKUP(J4311,辅助信息!H:I,2,FALSE)</f>
        <v>18381904567</v>
      </c>
      <c r="L4311" s="122" t="str">
        <f>VLOOKUP(B4311,辅助信息!E:J,6,FALSE)</f>
        <v>控制炉批号！多了现场不收！,优先安排达钢,提前联系到场规格及数量</v>
      </c>
      <c r="O4311" s="62" t="str">
        <f ca="1" t="shared" si="216"/>
        <v/>
      </c>
      <c r="P4311" s="62"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6" t="s">
        <v>112</v>
      </c>
      <c r="C4312" s="70">
        <v>45940</v>
      </c>
      <c r="D4312" s="120" t="str">
        <f>VLOOKUP(B4312,辅助信息!E:K,7,FALSE)</f>
        <v>JWDDCD2025052800131</v>
      </c>
      <c r="E4312" s="120" t="str">
        <f>VLOOKUP(F4312,辅助信息!A:B,2,FALSE)</f>
        <v>盘螺</v>
      </c>
      <c r="F4312" s="120" t="s">
        <v>40</v>
      </c>
      <c r="G4312" s="121">
        <v>24</v>
      </c>
      <c r="H4312" s="134"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0" t="str">
        <f>VLOOKUP(B4312,辅助信息!E:I,3,FALSE)</f>
        <v>（商投建工达州中医药科技园-4工区-10号楼）达州市通川区达州中医药职业学院犀牛大道北段</v>
      </c>
      <c r="J4312" s="120" t="str">
        <f>VLOOKUP(B4312,辅助信息!E:I,4,FALSE)</f>
        <v>张扬</v>
      </c>
      <c r="K4312" s="120">
        <f>VLOOKUP(J4312,辅助信息!H:I,2,FALSE)</f>
        <v>18381904567</v>
      </c>
      <c r="L4312" s="122" t="str">
        <f>VLOOKUP(B4312,辅助信息!E:J,6,FALSE)</f>
        <v>控制炉批号！多了现场不收！,优先安排达钢,提前联系到场规格及数量</v>
      </c>
      <c r="O4312" s="62" t="str">
        <f ca="1" t="shared" si="216"/>
        <v/>
      </c>
      <c r="P4312" s="62"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6" t="s">
        <v>112</v>
      </c>
      <c r="C4313" s="70">
        <v>45940</v>
      </c>
      <c r="D4313" s="120" t="str">
        <f>VLOOKUP(B4313,辅助信息!E:K,7,FALSE)</f>
        <v>JWDDCD2025052800131</v>
      </c>
      <c r="E4313" s="120" t="str">
        <f>VLOOKUP(F4313,辅助信息!A:B,2,FALSE)</f>
        <v>螺纹钢</v>
      </c>
      <c r="F4313" s="120" t="s">
        <v>32</v>
      </c>
      <c r="G4313" s="121">
        <v>3</v>
      </c>
      <c r="H4313" s="134"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0" t="str">
        <f>VLOOKUP(B4313,辅助信息!E:I,3,FALSE)</f>
        <v>（商投建工达州中医药科技园-4工区-10号楼）达州市通川区达州中医药职业学院犀牛大道北段</v>
      </c>
      <c r="J4313" s="120" t="str">
        <f>VLOOKUP(B4313,辅助信息!E:I,4,FALSE)</f>
        <v>张扬</v>
      </c>
      <c r="K4313" s="120">
        <f>VLOOKUP(J4313,辅助信息!H:I,2,FALSE)</f>
        <v>18381904567</v>
      </c>
      <c r="L4313" s="122" t="str">
        <f>VLOOKUP(B4313,辅助信息!E:J,6,FALSE)</f>
        <v>控制炉批号！多了现场不收！,优先安排达钢,提前联系到场规格及数量</v>
      </c>
      <c r="O4313" s="62" t="str">
        <f ca="1" t="shared" si="216"/>
        <v/>
      </c>
      <c r="P4313" s="62"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6" t="s">
        <v>112</v>
      </c>
      <c r="C4314" s="70">
        <v>45940</v>
      </c>
      <c r="D4314" s="120" t="str">
        <f>VLOOKUP(B4314,辅助信息!E:K,7,FALSE)</f>
        <v>JWDDCD2025052800131</v>
      </c>
      <c r="E4314" s="120" t="str">
        <f>VLOOKUP(F4314,辅助信息!A:B,2,FALSE)</f>
        <v>螺纹钢</v>
      </c>
      <c r="F4314" s="120" t="s">
        <v>18</v>
      </c>
      <c r="G4314" s="121">
        <v>12</v>
      </c>
      <c r="H4314" s="134"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0" t="str">
        <f>VLOOKUP(B4314,辅助信息!E:I,3,FALSE)</f>
        <v>（商投建工达州中医药科技园-4工区-10号楼）达州市通川区达州中医药职业学院犀牛大道北段</v>
      </c>
      <c r="J4314" s="120" t="str">
        <f>VLOOKUP(B4314,辅助信息!E:I,4,FALSE)</f>
        <v>张扬</v>
      </c>
      <c r="K4314" s="120">
        <f>VLOOKUP(J4314,辅助信息!H:I,2,FALSE)</f>
        <v>18381904567</v>
      </c>
      <c r="L4314" s="122" t="str">
        <f>VLOOKUP(B4314,辅助信息!E:J,6,FALSE)</f>
        <v>控制炉批号！多了现场不收！,优先安排达钢,提前联系到场规格及数量</v>
      </c>
      <c r="O4314" s="62" t="str">
        <f ca="1" t="shared" si="216"/>
        <v/>
      </c>
      <c r="P4314" s="62"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6" t="s">
        <v>112</v>
      </c>
      <c r="C4315" s="70">
        <v>45940</v>
      </c>
      <c r="D4315" s="120" t="str">
        <f>VLOOKUP(B4315,辅助信息!E:K,7,FALSE)</f>
        <v>JWDDCD2025052800131</v>
      </c>
      <c r="E4315" s="120" t="str">
        <f>VLOOKUP(F4315,辅助信息!A:B,2,FALSE)</f>
        <v>螺纹钢</v>
      </c>
      <c r="F4315" s="120" t="s">
        <v>21</v>
      </c>
      <c r="G4315" s="121">
        <v>12</v>
      </c>
      <c r="H4315" s="134"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0" t="str">
        <f>VLOOKUP(B4315,辅助信息!E:I,3,FALSE)</f>
        <v>（商投建工达州中医药科技园-4工区-10号楼）达州市通川区达州中医药职业学院犀牛大道北段</v>
      </c>
      <c r="J4315" s="120" t="str">
        <f>VLOOKUP(B4315,辅助信息!E:I,4,FALSE)</f>
        <v>张扬</v>
      </c>
      <c r="K4315" s="120">
        <f>VLOOKUP(J4315,辅助信息!H:I,2,FALSE)</f>
        <v>18381904567</v>
      </c>
      <c r="L4315" s="122" t="str">
        <f>VLOOKUP(B4315,辅助信息!E:J,6,FALSE)</f>
        <v>控制炉批号！多了现场不收！,优先安排达钢,提前联系到场规格及数量</v>
      </c>
      <c r="O4315" s="62" t="str">
        <f ca="1" t="shared" si="216"/>
        <v/>
      </c>
      <c r="P4315" s="62"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6" t="s">
        <v>112</v>
      </c>
      <c r="C4316" s="70">
        <v>45940</v>
      </c>
      <c r="D4316" s="120" t="str">
        <f>VLOOKUP(B4316,辅助信息!E:K,7,FALSE)</f>
        <v>JWDDCD2025052800131</v>
      </c>
      <c r="E4316" s="120" t="str">
        <f>VLOOKUP(F4316,辅助信息!A:B,2,FALSE)</f>
        <v>螺纹钢</v>
      </c>
      <c r="F4316" s="120" t="s">
        <v>58</v>
      </c>
      <c r="G4316" s="121">
        <v>12</v>
      </c>
      <c r="H4316" s="134"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0" t="str">
        <f>VLOOKUP(B4316,辅助信息!E:I,3,FALSE)</f>
        <v>（商投建工达州中医药科技园-4工区-10号楼）达州市通川区达州中医药职业学院犀牛大道北段</v>
      </c>
      <c r="J4316" s="120" t="str">
        <f>VLOOKUP(B4316,辅助信息!E:I,4,FALSE)</f>
        <v>张扬</v>
      </c>
      <c r="K4316" s="120">
        <f>VLOOKUP(J4316,辅助信息!H:I,2,FALSE)</f>
        <v>18381904567</v>
      </c>
      <c r="L4316" s="122" t="str">
        <f>VLOOKUP(B4316,辅助信息!E:J,6,FALSE)</f>
        <v>控制炉批号！多了现场不收！,优先安排达钢,提前联系到场规格及数量</v>
      </c>
      <c r="O4316" s="62" t="str">
        <f ca="1" t="shared" si="216"/>
        <v/>
      </c>
      <c r="P4316" s="62"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6" t="s">
        <v>112</v>
      </c>
      <c r="C4317" s="70">
        <v>45940</v>
      </c>
      <c r="D4317" s="120" t="str">
        <f>VLOOKUP(B4317,辅助信息!E:K,7,FALSE)</f>
        <v>JWDDCD2025052800131</v>
      </c>
      <c r="E4317" s="120" t="str">
        <f>VLOOKUP(F4317,辅助信息!A:B,2,FALSE)</f>
        <v>螺纹钢</v>
      </c>
      <c r="F4317" s="120" t="s">
        <v>22</v>
      </c>
      <c r="G4317" s="121">
        <v>21</v>
      </c>
      <c r="H4317" s="134"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0" t="str">
        <f>VLOOKUP(B4317,辅助信息!E:I,3,FALSE)</f>
        <v>（商投建工达州中医药科技园-4工区-10号楼）达州市通川区达州中医药职业学院犀牛大道北段</v>
      </c>
      <c r="J4317" s="120" t="str">
        <f>VLOOKUP(B4317,辅助信息!E:I,4,FALSE)</f>
        <v>张扬</v>
      </c>
      <c r="K4317" s="120">
        <f>VLOOKUP(J4317,辅助信息!H:I,2,FALSE)</f>
        <v>18381904567</v>
      </c>
      <c r="L4317" s="122" t="str">
        <f>VLOOKUP(B4317,辅助信息!E:J,6,FALSE)</f>
        <v>控制炉批号！多了现场不收！,优先安排达钢,提前联系到场规格及数量</v>
      </c>
      <c r="O4317" s="62" t="str">
        <f ca="1" t="shared" si="216"/>
        <v/>
      </c>
      <c r="P4317" s="62"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5" t="s">
        <v>187</v>
      </c>
      <c r="C4318" s="70">
        <v>45940</v>
      </c>
      <c r="D4318" s="40" t="str">
        <f>VLOOKUP(B4318,辅助信息!E:K,7,FALSE)</f>
        <v>JWDDCD2025072900121</v>
      </c>
      <c r="E4318" s="40" t="str">
        <f>VLOOKUP(F4318,辅助信息!A:B,2,FALSE)</f>
        <v>盘螺</v>
      </c>
      <c r="F4318" s="40" t="s">
        <v>40</v>
      </c>
      <c r="G4318" s="36">
        <v>35</v>
      </c>
      <c r="H4318" s="134"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09" t="str">
        <f>VLOOKUP(B4318,辅助信息!E:J,6,FALSE)</f>
        <v>联系实际收货人（范增云13668153241）现场要求炉批号控制2个以下，超2个不给予签收。提前联系到场规格及数量</v>
      </c>
      <c r="O4318" s="62" t="str">
        <f ca="1" t="shared" si="216"/>
        <v/>
      </c>
      <c r="P4318" s="62"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5" t="s">
        <v>187</v>
      </c>
      <c r="C4319" s="70">
        <v>45940</v>
      </c>
      <c r="D4319" s="40" t="str">
        <f>VLOOKUP(B4319,辅助信息!E:K,7,FALSE)</f>
        <v>JWDDCD2025072900121</v>
      </c>
      <c r="E4319" s="40" t="str">
        <f>VLOOKUP(F4319,辅助信息!A:B,2,FALSE)</f>
        <v>盘螺</v>
      </c>
      <c r="F4319" s="40" t="s">
        <v>41</v>
      </c>
      <c r="G4319" s="36">
        <v>11</v>
      </c>
      <c r="H4319" s="134">
        <f>IF(SUMIFS('[1]2025年已发货'!$E:$E,'[1]2025年已发货'!$F:$F,C4319,'[1]2025年已发货'!$C:$C,F4319,'[1]2025年已发货'!$G:$G,I4319,'[1]2025年已发货'!$H:$H,J4319)=0,"未发货",SUMIFS('[1]2025年已发货'!$E:$E,'[1]2025年已发货'!$F:$F,C4319,'[1]2025年已发货'!$C:$C,F4319,'[1]2025年已发货'!$G:$G,I4319,'[1]2025年已发货'!$H:$H,J4319))</f>
        <v>11</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09" t="str">
        <f>VLOOKUP(B4319,辅助信息!E:J,6,FALSE)</f>
        <v>联系实际收货人（范增云13668153241）现场要求炉批号控制2个以下，超2个不给予签收。提前联系到场规格及数量</v>
      </c>
      <c r="O4319" s="62" t="str">
        <f ca="1" t="shared" si="216"/>
        <v/>
      </c>
      <c r="P4319" s="62"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5" t="s">
        <v>187</v>
      </c>
      <c r="C4320" s="70">
        <v>45940</v>
      </c>
      <c r="D4320" s="40" t="str">
        <f>VLOOKUP(B4320,辅助信息!E:K,7,FALSE)</f>
        <v>JWDDCD2025072900121</v>
      </c>
      <c r="E4320" s="40" t="str">
        <f>VLOOKUP(F4320,辅助信息!A:B,2,FALSE)</f>
        <v>螺纹钢</v>
      </c>
      <c r="F4320" s="40" t="s">
        <v>22</v>
      </c>
      <c r="G4320" s="36">
        <v>35</v>
      </c>
      <c r="H4320" s="134">
        <f>IF(SUMIFS('[1]2025年已发货'!$E:$E,'[1]2025年已发货'!$F:$F,C4320,'[1]2025年已发货'!$C:$C,F4320,'[1]2025年已发货'!$G:$G,I4320,'[1]2025年已发货'!$H:$H,J4320)=0,"未发货",SUMIFS('[1]2025年已发货'!$E:$E,'[1]2025年已发货'!$F:$F,C4320,'[1]2025年已发货'!$C:$C,F4320,'[1]2025年已发货'!$G:$G,I4320,'[1]2025年已发货'!$H:$H,J4320))</f>
        <v>35</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09" t="str">
        <f>VLOOKUP(B4320,辅助信息!E:J,6,FALSE)</f>
        <v>联系实际收货人（范增云13668153241）现场要求炉批号控制2个以下，超2个不给予签收。提前联系到场规格及数量</v>
      </c>
      <c r="O4320" s="62" t="str">
        <f ca="1" t="shared" ref="O4320:O4383" si="218">IF(OR(M4320="",N4320&lt;&gt;""),"",MAX(M4320-TODAY(),0))</f>
        <v/>
      </c>
      <c r="P4320" s="62"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5" t="s">
        <v>187</v>
      </c>
      <c r="C4321" s="70">
        <v>45940</v>
      </c>
      <c r="D4321" s="40" t="str">
        <f>VLOOKUP(B4321,辅助信息!E:K,7,FALSE)</f>
        <v>JWDDCD2025072900121</v>
      </c>
      <c r="E4321" s="40" t="str">
        <f>VLOOKUP(F4321,辅助信息!A:B,2,FALSE)</f>
        <v>螺纹钢</v>
      </c>
      <c r="F4321" s="40" t="s">
        <v>182</v>
      </c>
      <c r="G4321" s="36">
        <v>12</v>
      </c>
      <c r="H4321" s="134">
        <f>IF(SUMIFS('[1]2025年已发货'!$E:$E,'[1]2025年已发货'!$F:$F,C4321,'[1]2025年已发货'!$C:$C,F4321,'[1]2025年已发货'!$G:$G,I4321,'[1]2025年已发货'!$H:$H,J4321)=0,"未发货",SUMIFS('[1]2025年已发货'!$E:$E,'[1]2025年已发货'!$F:$F,C4321,'[1]2025年已发货'!$C:$C,F4321,'[1]2025年已发货'!$G:$G,I4321,'[1]2025年已发货'!$H:$H,J4321))</f>
        <v>12</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09" t="str">
        <f>VLOOKUP(B4321,辅助信息!E:J,6,FALSE)</f>
        <v>联系实际收货人（范增云13668153241）现场要求炉批号控制2个以下，超2个不给予签收。提前联系到场规格及数量</v>
      </c>
      <c r="O4321" s="62" t="str">
        <f ca="1" t="shared" si="218"/>
        <v/>
      </c>
      <c r="P4321" s="62"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5" t="s">
        <v>187</v>
      </c>
      <c r="C4322" s="70">
        <v>45940</v>
      </c>
      <c r="D4322" s="40" t="str">
        <f>VLOOKUP(B4322,辅助信息!E:K,7,FALSE)</f>
        <v>JWDDCD2025072900121</v>
      </c>
      <c r="E4322" s="40" t="str">
        <f>VLOOKUP(F4322,辅助信息!A:B,2,FALSE)</f>
        <v>螺纹钢</v>
      </c>
      <c r="F4322" s="40" t="s">
        <v>199</v>
      </c>
      <c r="G4322" s="36">
        <v>6</v>
      </c>
      <c r="H4322" s="134">
        <f>IF(SUMIFS('[1]2025年已发货'!$E:$E,'[1]2025年已发货'!$F:$F,C4322,'[1]2025年已发货'!$C:$C,F4322,'[1]2025年已发货'!$G:$G,I4322,'[1]2025年已发货'!$H:$H,J4322)=0,"未发货",SUMIFS('[1]2025年已发货'!$E:$E,'[1]2025年已发货'!$F:$F,C4322,'[1]2025年已发货'!$C:$C,F4322,'[1]2025年已发货'!$G:$G,I4322,'[1]2025年已发货'!$H:$H,J4322))</f>
        <v>6</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09" t="str">
        <f>VLOOKUP(B4322,辅助信息!E:J,6,FALSE)</f>
        <v>联系实际收货人（范增云13668153241）现场要求炉批号控制2个以下，超2个不给予签收。提前联系到场规格及数量</v>
      </c>
      <c r="O4322" s="62" t="str">
        <f ca="1" t="shared" si="218"/>
        <v/>
      </c>
      <c r="P4322" s="62"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5" t="s">
        <v>187</v>
      </c>
      <c r="C4323" s="70">
        <v>45940</v>
      </c>
      <c r="D4323" s="40" t="str">
        <f>VLOOKUP(B4323,辅助信息!E:K,7,FALSE)</f>
        <v>JWDDCD2025072900121</v>
      </c>
      <c r="E4323" s="40" t="str">
        <f>VLOOKUP(F4323,辅助信息!A:B,2,FALSE)</f>
        <v>螺纹钢</v>
      </c>
      <c r="F4323" s="40" t="s">
        <v>142</v>
      </c>
      <c r="G4323" s="36">
        <v>35</v>
      </c>
      <c r="H4323" s="134"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09" t="str">
        <f>VLOOKUP(B4323,辅助信息!E:J,6,FALSE)</f>
        <v>联系实际收货人（范增云13668153241）现场要求炉批号控制2个以下，超2个不给予签收。提前联系到场规格及数量</v>
      </c>
      <c r="O4323" s="62" t="str">
        <f ca="1" t="shared" si="218"/>
        <v/>
      </c>
      <c r="P4323" s="62"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5" t="s">
        <v>187</v>
      </c>
      <c r="C4324" s="70">
        <v>45940</v>
      </c>
      <c r="D4324" s="40" t="str">
        <f>VLOOKUP(B4324,辅助信息!E:K,7,FALSE)</f>
        <v>JWDDCD2025072900121</v>
      </c>
      <c r="E4324" s="40" t="str">
        <f>VLOOKUP(F4324,辅助信息!A:B,2,FALSE)</f>
        <v>螺纹钢</v>
      </c>
      <c r="F4324" s="40" t="s">
        <v>201</v>
      </c>
      <c r="G4324" s="36">
        <v>6</v>
      </c>
      <c r="H4324" s="134">
        <f>IF(SUMIFS('[1]2025年已发货'!$E:$E,'[1]2025年已发货'!$F:$F,C4324,'[1]2025年已发货'!$C:$C,F4324,'[1]2025年已发货'!$G:$G,I4324,'[1]2025年已发货'!$H:$H,J4324)=0,"未发货",SUMIFS('[1]2025年已发货'!$E:$E,'[1]2025年已发货'!$F:$F,C4324,'[1]2025年已发货'!$C:$C,F4324,'[1]2025年已发货'!$G:$G,I4324,'[1]2025年已发货'!$H:$H,J4324))</f>
        <v>6</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09" t="str">
        <f>VLOOKUP(B4324,辅助信息!E:J,6,FALSE)</f>
        <v>联系实际收货人（范增云13668153241）现场要求炉批号控制2个以下，超2个不给予签收。提前联系到场规格及数量</v>
      </c>
      <c r="O4324" s="62" t="str">
        <f ca="1" t="shared" si="218"/>
        <v/>
      </c>
      <c r="P4324" s="62"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5" t="s">
        <v>203</v>
      </c>
      <c r="C4325" s="70">
        <v>45940</v>
      </c>
      <c r="D4325" s="40" t="str">
        <f>VLOOKUP(B4325,辅助信息!E:K,7,FALSE)</f>
        <v>JWDDCD2025102100479</v>
      </c>
      <c r="E4325" s="40" t="str">
        <f>VLOOKUP(F4325,辅助信息!A:B,2,FALSE)</f>
        <v>盘螺</v>
      </c>
      <c r="F4325" s="40" t="s">
        <v>40</v>
      </c>
      <c r="G4325" s="36">
        <v>14</v>
      </c>
      <c r="H4325" s="134"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09"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2" t="str">
        <f ca="1" t="shared" si="218"/>
        <v/>
      </c>
      <c r="P4325" s="62"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5" t="s">
        <v>203</v>
      </c>
      <c r="C4326" s="70">
        <v>45940</v>
      </c>
      <c r="D4326" s="40" t="str">
        <f>VLOOKUP(B4326,辅助信息!E:K,7,FALSE)</f>
        <v>JWDDCD2025102100479</v>
      </c>
      <c r="E4326" s="40" t="str">
        <f>VLOOKUP(F4326,辅助信息!A:B,2,FALSE)</f>
        <v>盘螺</v>
      </c>
      <c r="F4326" s="40" t="s">
        <v>41</v>
      </c>
      <c r="G4326" s="36">
        <v>18</v>
      </c>
      <c r="H4326" s="134"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09"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2" t="str">
        <f ca="1" t="shared" si="218"/>
        <v/>
      </c>
      <c r="P4326" s="62"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5" t="s">
        <v>203</v>
      </c>
      <c r="C4327" s="70">
        <v>45940</v>
      </c>
      <c r="D4327" s="40" t="str">
        <f>VLOOKUP(B4327,辅助信息!E:K,7,FALSE)</f>
        <v>JWDDCD2025102100479</v>
      </c>
      <c r="E4327" s="40" t="str">
        <f>VLOOKUP(F4327,辅助信息!A:B,2,FALSE)</f>
        <v>螺纹钢</v>
      </c>
      <c r="F4327" s="40" t="s">
        <v>27</v>
      </c>
      <c r="G4327" s="36">
        <v>20</v>
      </c>
      <c r="H4327" s="134"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09"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2" t="str">
        <f ca="1" t="shared" si="218"/>
        <v/>
      </c>
      <c r="P4327" s="62"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5" t="s">
        <v>203</v>
      </c>
      <c r="C4328" s="70">
        <v>45940</v>
      </c>
      <c r="D4328" s="40" t="str">
        <f>VLOOKUP(B4328,辅助信息!E:K,7,FALSE)</f>
        <v>JWDDCD2025102100479</v>
      </c>
      <c r="E4328" s="40" t="str">
        <f>VLOOKUP(F4328,辅助信息!A:B,2,FALSE)</f>
        <v>螺纹钢</v>
      </c>
      <c r="F4328" s="40" t="s">
        <v>19</v>
      </c>
      <c r="G4328" s="36">
        <v>30</v>
      </c>
      <c r="H4328" s="134"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09"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2" t="str">
        <f ca="1" t="shared" si="218"/>
        <v/>
      </c>
      <c r="P4328" s="62"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5" t="s">
        <v>203</v>
      </c>
      <c r="C4329" s="70">
        <v>45940</v>
      </c>
      <c r="D4329" s="40" t="str">
        <f>VLOOKUP(B4329,辅助信息!E:K,7,FALSE)</f>
        <v>JWDDCD2025102100479</v>
      </c>
      <c r="E4329" s="40" t="str">
        <f>VLOOKUP(F4329,辅助信息!A:B,2,FALSE)</f>
        <v>螺纹钢</v>
      </c>
      <c r="F4329" s="40" t="s">
        <v>32</v>
      </c>
      <c r="G4329" s="36">
        <v>15</v>
      </c>
      <c r="H4329" s="134"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09"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2" t="str">
        <f ca="1" t="shared" si="218"/>
        <v/>
      </c>
      <c r="P4329" s="62"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5" t="s">
        <v>203</v>
      </c>
      <c r="C4330" s="70">
        <v>45940</v>
      </c>
      <c r="D4330" s="40" t="str">
        <f>VLOOKUP(B4330,辅助信息!E:K,7,FALSE)</f>
        <v>JWDDCD2025102100479</v>
      </c>
      <c r="E4330" s="40" t="str">
        <f>VLOOKUP(F4330,辅助信息!A:B,2,FALSE)</f>
        <v>螺纹钢</v>
      </c>
      <c r="F4330" s="40" t="s">
        <v>30</v>
      </c>
      <c r="G4330" s="36">
        <v>3</v>
      </c>
      <c r="H4330" s="134"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09"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2" t="str">
        <f ca="1" t="shared" si="218"/>
        <v/>
      </c>
      <c r="P4330" s="62"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5" t="s">
        <v>203</v>
      </c>
      <c r="C4331" s="70">
        <v>45940</v>
      </c>
      <c r="D4331" s="40" t="str">
        <f>VLOOKUP(B4331,辅助信息!E:K,7,FALSE)</f>
        <v>JWDDCD2025102100479</v>
      </c>
      <c r="E4331" s="40" t="str">
        <f>VLOOKUP(F4331,辅助信息!A:B,2,FALSE)</f>
        <v>螺纹钢</v>
      </c>
      <c r="F4331" s="40" t="s">
        <v>33</v>
      </c>
      <c r="G4331" s="36">
        <v>3</v>
      </c>
      <c r="H4331" s="134"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09"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2" t="str">
        <f ca="1" t="shared" si="218"/>
        <v/>
      </c>
      <c r="P4331" s="62"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5" t="s">
        <v>203</v>
      </c>
      <c r="C4332" s="70">
        <v>45940</v>
      </c>
      <c r="D4332" s="40" t="str">
        <f>VLOOKUP(B4332,辅助信息!E:K,7,FALSE)</f>
        <v>JWDDCD2025102100479</v>
      </c>
      <c r="E4332" s="40" t="str">
        <f>VLOOKUP(F4332,辅助信息!A:B,2,FALSE)</f>
        <v>螺纹钢</v>
      </c>
      <c r="F4332" s="40" t="s">
        <v>28</v>
      </c>
      <c r="G4332" s="36">
        <v>3</v>
      </c>
      <c r="H4332" s="134"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09"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2" t="str">
        <f ca="1" t="shared" si="218"/>
        <v/>
      </c>
      <c r="P4332" s="62"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5" t="s">
        <v>203</v>
      </c>
      <c r="C4333" s="70">
        <v>45940</v>
      </c>
      <c r="D4333" s="40" t="str">
        <f>VLOOKUP(B4333,辅助信息!E:K,7,FALSE)</f>
        <v>JWDDCD2025102100479</v>
      </c>
      <c r="E4333" s="40" t="str">
        <f>VLOOKUP(F4333,辅助信息!A:B,2,FALSE)</f>
        <v>螺纹钢</v>
      </c>
      <c r="F4333" s="40" t="s">
        <v>82</v>
      </c>
      <c r="G4333" s="36">
        <v>2.5</v>
      </c>
      <c r="H4333" s="134"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09"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2" t="str">
        <f ca="1" t="shared" si="218"/>
        <v/>
      </c>
      <c r="P4333" s="62"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5" t="s">
        <v>203</v>
      </c>
      <c r="C4334" s="70">
        <v>45940</v>
      </c>
      <c r="D4334" s="40" t="str">
        <f>VLOOKUP(B4334,辅助信息!E:K,7,FALSE)</f>
        <v>JWDDCD2025102100479</v>
      </c>
      <c r="E4334" s="40" t="str">
        <f>VLOOKUP(F4334,辅助信息!A:B,2,FALSE)</f>
        <v>螺纹钢</v>
      </c>
      <c r="F4334" s="40" t="s">
        <v>21</v>
      </c>
      <c r="G4334" s="36">
        <v>2.5</v>
      </c>
      <c r="H4334" s="134"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09"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2" t="str">
        <f ca="1" t="shared" si="218"/>
        <v/>
      </c>
      <c r="P4334" s="62"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5" t="s">
        <v>203</v>
      </c>
      <c r="C4335" s="70">
        <v>45940</v>
      </c>
      <c r="D4335" s="40" t="str">
        <f>VLOOKUP(B4335,辅助信息!E:K,7,FALSE)</f>
        <v>JWDDCD2025102100479</v>
      </c>
      <c r="E4335" s="40" t="str">
        <f>VLOOKUP(F4335,辅助信息!A:B,2,FALSE)</f>
        <v>螺纹钢</v>
      </c>
      <c r="F4335" s="40" t="s">
        <v>58</v>
      </c>
      <c r="G4335" s="36">
        <v>15</v>
      </c>
      <c r="H4335" s="134"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09"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2" t="str">
        <f ca="1" t="shared" si="218"/>
        <v/>
      </c>
      <c r="P4335" s="62"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5" t="s">
        <v>203</v>
      </c>
      <c r="C4336" s="70">
        <v>45940</v>
      </c>
      <c r="D4336" s="40" t="str">
        <f>VLOOKUP(B4336,辅助信息!E:K,7,FALSE)</f>
        <v>JWDDCD2025102100479</v>
      </c>
      <c r="E4336" s="40" t="str">
        <f>VLOOKUP(F4336,辅助信息!A:B,2,FALSE)</f>
        <v>螺纹钢</v>
      </c>
      <c r="F4336" s="40" t="s">
        <v>46</v>
      </c>
      <c r="G4336" s="36">
        <v>5</v>
      </c>
      <c r="H4336" s="134"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09"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2" t="str">
        <f ca="1" t="shared" si="218"/>
        <v/>
      </c>
      <c r="P4336" s="62"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5" t="s">
        <v>203</v>
      </c>
      <c r="C4337" s="70">
        <v>45940</v>
      </c>
      <c r="D4337" s="40" t="str">
        <f>VLOOKUP(B4337,辅助信息!E:K,7,FALSE)</f>
        <v>JWDDCD2025102100479</v>
      </c>
      <c r="E4337" s="40" t="str">
        <f>VLOOKUP(F4337,辅助信息!A:B,2,FALSE)</f>
        <v>螺纹钢</v>
      </c>
      <c r="F4337" s="40" t="s">
        <v>22</v>
      </c>
      <c r="G4337" s="36">
        <v>10</v>
      </c>
      <c r="H4337" s="134"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09"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2" t="str">
        <f ca="1" t="shared" si="218"/>
        <v/>
      </c>
      <c r="P4337" s="62"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6" t="s">
        <v>92</v>
      </c>
      <c r="C4338" s="70">
        <v>45941</v>
      </c>
      <c r="D4338" s="120" t="str">
        <f>VLOOKUP(B4338,辅助信息!E:K,7,FALSE)</f>
        <v>JWDDCD2025051800046</v>
      </c>
      <c r="E4338" s="120" t="str">
        <f>VLOOKUP(F4338,辅助信息!A:B,2,FALSE)</f>
        <v>盘螺</v>
      </c>
      <c r="F4338" s="120" t="s">
        <v>49</v>
      </c>
      <c r="G4338" s="121">
        <v>2.5</v>
      </c>
      <c r="H4338" s="134"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0" t="str">
        <f>VLOOKUP(B4338,辅助信息!E:I,3,FALSE)</f>
        <v>（华西萌海科创农业生态谷）成都市简阳市白金山水库</v>
      </c>
      <c r="J4338" s="120" t="str">
        <f>VLOOKUP(B4338,辅助信息!E:I,4,FALSE)</f>
        <v>石清国</v>
      </c>
      <c r="K4338" s="120">
        <f>VLOOKUP(J4338,辅助信息!H:I,2,FALSE)</f>
        <v>13458642015</v>
      </c>
      <c r="L4338" s="122" t="str">
        <f>VLOOKUP(B4338,辅助信息!E:J,6,FALSE)</f>
        <v>优先威钢,我方卸车,新老国标钢厂不加价可直发</v>
      </c>
      <c r="M4338" s="148">
        <v>45942</v>
      </c>
      <c r="O4338" s="62">
        <f ca="1" t="shared" si="218"/>
        <v>0</v>
      </c>
      <c r="P4338" s="62">
        <f ca="1" t="shared" si="219"/>
        <v>18</v>
      </c>
      <c r="Q4338" s="29" t="str">
        <f>VLOOKUP(B4338,辅助信息!E:M,9,FALSE)</f>
        <v>ZTWM-CDGS-XS-2024-0092-华西-萌海科创农业生态谷</v>
      </c>
      <c r="R4338" s="29" t="str">
        <f>_xlfn._xlws.FILTER(辅助信息!D:D,辅助信息!E:E=B4338)</f>
        <v>华西萌海-科创农业生态谷</v>
      </c>
    </row>
    <row r="4339" hidden="1" spans="2:18">
      <c r="B4339" s="136" t="s">
        <v>92</v>
      </c>
      <c r="C4339" s="70">
        <v>45941</v>
      </c>
      <c r="D4339" s="120" t="str">
        <f>VLOOKUP(B4339,辅助信息!E:K,7,FALSE)</f>
        <v>JWDDCD2025051800046</v>
      </c>
      <c r="E4339" s="120" t="str">
        <f>VLOOKUP(F4339,辅助信息!A:B,2,FALSE)</f>
        <v>盘螺</v>
      </c>
      <c r="F4339" s="120" t="s">
        <v>40</v>
      </c>
      <c r="G4339" s="121">
        <v>20</v>
      </c>
      <c r="H4339" s="134"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0" t="str">
        <f>VLOOKUP(B4339,辅助信息!E:I,3,FALSE)</f>
        <v>（华西萌海科创农业生态谷）成都市简阳市白金山水库</v>
      </c>
      <c r="J4339" s="120" t="str">
        <f>VLOOKUP(B4339,辅助信息!E:I,4,FALSE)</f>
        <v>石清国</v>
      </c>
      <c r="K4339" s="120">
        <f>VLOOKUP(J4339,辅助信息!H:I,2,FALSE)</f>
        <v>13458642015</v>
      </c>
      <c r="L4339" s="122" t="str">
        <f>VLOOKUP(B4339,辅助信息!E:J,6,FALSE)</f>
        <v>优先威钢,我方卸车,新老国标钢厂不加价可直发</v>
      </c>
      <c r="M4339" s="148">
        <v>45942</v>
      </c>
      <c r="O4339" s="62">
        <f ca="1" t="shared" si="218"/>
        <v>0</v>
      </c>
      <c r="P4339" s="62">
        <f ca="1" t="shared" si="219"/>
        <v>18</v>
      </c>
      <c r="Q4339" s="29" t="str">
        <f>VLOOKUP(B4339,辅助信息!E:M,9,FALSE)</f>
        <v>ZTWM-CDGS-XS-2024-0092-华西-萌海科创农业生态谷</v>
      </c>
      <c r="R4339" s="29" t="str">
        <f>_xlfn._xlws.FILTER(辅助信息!D:D,辅助信息!E:E=B4339)</f>
        <v>华西萌海-科创农业生态谷</v>
      </c>
    </row>
    <row r="4340" hidden="1" spans="2:18">
      <c r="B4340" s="136" t="s">
        <v>92</v>
      </c>
      <c r="C4340" s="70">
        <v>45941</v>
      </c>
      <c r="D4340" s="120" t="str">
        <f>VLOOKUP(B4340,辅助信息!E:K,7,FALSE)</f>
        <v>JWDDCD2025051800046</v>
      </c>
      <c r="E4340" s="120" t="str">
        <f>VLOOKUP(F4340,辅助信息!A:B,2,FALSE)</f>
        <v>盘螺</v>
      </c>
      <c r="F4340" s="120" t="s">
        <v>26</v>
      </c>
      <c r="G4340" s="121">
        <v>5</v>
      </c>
      <c r="H4340" s="134"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0" t="str">
        <f>VLOOKUP(B4340,辅助信息!E:I,3,FALSE)</f>
        <v>（华西萌海科创农业生态谷）成都市简阳市白金山水库</v>
      </c>
      <c r="J4340" s="120" t="str">
        <f>VLOOKUP(B4340,辅助信息!E:I,4,FALSE)</f>
        <v>石清国</v>
      </c>
      <c r="K4340" s="120">
        <f>VLOOKUP(J4340,辅助信息!H:I,2,FALSE)</f>
        <v>13458642015</v>
      </c>
      <c r="L4340" s="122" t="str">
        <f>VLOOKUP(B4340,辅助信息!E:J,6,FALSE)</f>
        <v>优先威钢,我方卸车,新老国标钢厂不加价可直发</v>
      </c>
      <c r="M4340" s="148">
        <v>45942</v>
      </c>
      <c r="O4340" s="62">
        <f ca="1" t="shared" si="218"/>
        <v>0</v>
      </c>
      <c r="P4340" s="62">
        <f ca="1" t="shared" si="219"/>
        <v>18</v>
      </c>
      <c r="Q4340" s="29" t="str">
        <f>VLOOKUP(B4340,辅助信息!E:M,9,FALSE)</f>
        <v>ZTWM-CDGS-XS-2024-0092-华西-萌海科创农业生态谷</v>
      </c>
      <c r="R4340" s="29" t="str">
        <f>_xlfn._xlws.FILTER(辅助信息!D:D,辅助信息!E:E=B4340)</f>
        <v>华西萌海-科创农业生态谷</v>
      </c>
    </row>
    <row r="4341" hidden="1" spans="2:18">
      <c r="B4341" s="136" t="s">
        <v>228</v>
      </c>
      <c r="C4341" s="70">
        <v>45941</v>
      </c>
      <c r="D4341" s="120" t="str">
        <f>VLOOKUP(B4341,辅助信息!E:K,7,FALSE)</f>
        <v>JWDDCD2025092400190</v>
      </c>
      <c r="E4341" s="120" t="str">
        <f>VLOOKUP(F4341,辅助信息!A:B,2,FALSE)</f>
        <v>螺纹钢</v>
      </c>
      <c r="F4341" s="120" t="s">
        <v>32</v>
      </c>
      <c r="G4341" s="121">
        <v>35</v>
      </c>
      <c r="H4341" s="134">
        <f>IF(SUMIFS('[1]2025年已发货'!$E:$E,'[1]2025年已发货'!$F:$F,C4341,'[1]2025年已发货'!$C:$C,F4341,'[1]2025年已发货'!$G:$G,I4341,'[1]2025年已发货'!$H:$H,J4341)=0,"未发货",SUMIFS('[1]2025年已发货'!$E:$E,'[1]2025年已发货'!$F:$F,C4341,'[1]2025年已发货'!$C:$C,F4341,'[1]2025年已发货'!$G:$G,I4341,'[1]2025年已发货'!$H:$H,J4341))</f>
        <v>35</v>
      </c>
      <c r="I4341" s="120" t="str">
        <f>VLOOKUP(B4341,辅助信息!E:I,3,FALSE)</f>
        <v>(五冶钢构龙泉东洪片区70亩住宅、商业及配套工程项目二标段)成都市龙泉驿外东洪路地铁2号线惠王陵地铁C口</v>
      </c>
      <c r="J4341" s="120" t="str">
        <f>VLOOKUP(B4341,辅助信息!E:I,4,FALSE)</f>
        <v>蒋嗣伟</v>
      </c>
      <c r="K4341" s="120">
        <f>VLOOKUP(J4341,辅助信息!H:I,2,FALSE)</f>
        <v>15014331252</v>
      </c>
      <c r="L4341" s="122">
        <f>VLOOKUP(B4341,辅助信息!E:J,6,FALSE)</f>
        <v>0</v>
      </c>
      <c r="M4341" s="91">
        <v>45941</v>
      </c>
      <c r="O4341" s="62">
        <f ca="1" t="shared" si="218"/>
        <v>0</v>
      </c>
      <c r="P4341" s="62">
        <f ca="1" t="shared" si="219"/>
        <v>19</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6" t="s">
        <v>228</v>
      </c>
      <c r="C4342" s="70">
        <v>45941</v>
      </c>
      <c r="D4342" s="120" t="str">
        <f>VLOOKUP(B4342,辅助信息!E:K,7,FALSE)</f>
        <v>JWDDCD2025092400190</v>
      </c>
      <c r="E4342" s="120" t="str">
        <f>VLOOKUP(F4342,辅助信息!A:B,2,FALSE)</f>
        <v>螺纹钢</v>
      </c>
      <c r="F4342" s="120" t="s">
        <v>30</v>
      </c>
      <c r="G4342" s="121">
        <v>20</v>
      </c>
      <c r="H4342" s="134">
        <f>IF(SUMIFS('[1]2025年已发货'!$E:$E,'[1]2025年已发货'!$F:$F,C4342,'[1]2025年已发货'!$C:$C,F4342,'[1]2025年已发货'!$G:$G,I4342,'[1]2025年已发货'!$H:$H,J4342)=0,"未发货",SUMIFS('[1]2025年已发货'!$E:$E,'[1]2025年已发货'!$F:$F,C4342,'[1]2025年已发货'!$C:$C,F4342,'[1]2025年已发货'!$G:$G,I4342,'[1]2025年已发货'!$H:$H,J4342))</f>
        <v>20</v>
      </c>
      <c r="I4342" s="120" t="str">
        <f>VLOOKUP(B4342,辅助信息!E:I,3,FALSE)</f>
        <v>(五冶钢构龙泉东洪片区70亩住宅、商业及配套工程项目二标段)成都市龙泉驿外东洪路地铁2号线惠王陵地铁C口</v>
      </c>
      <c r="J4342" s="120" t="str">
        <f>VLOOKUP(B4342,辅助信息!E:I,4,FALSE)</f>
        <v>蒋嗣伟</v>
      </c>
      <c r="K4342" s="120">
        <f>VLOOKUP(J4342,辅助信息!H:I,2,FALSE)</f>
        <v>15014331252</v>
      </c>
      <c r="L4342" s="122">
        <f>VLOOKUP(B4342,辅助信息!E:J,6,FALSE)</f>
        <v>0</v>
      </c>
      <c r="M4342" s="91">
        <v>45941</v>
      </c>
      <c r="O4342" s="62">
        <f ca="1" t="shared" si="218"/>
        <v>0</v>
      </c>
      <c r="P4342" s="62">
        <f ca="1" t="shared" si="219"/>
        <v>19</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6" t="s">
        <v>228</v>
      </c>
      <c r="C4343" s="70">
        <v>45941</v>
      </c>
      <c r="D4343" s="120" t="str">
        <f>VLOOKUP(B4343,辅助信息!E:K,7,FALSE)</f>
        <v>JWDDCD2025092400190</v>
      </c>
      <c r="E4343" s="120" t="str">
        <f>VLOOKUP(F4343,辅助信息!A:B,2,FALSE)</f>
        <v>螺纹钢</v>
      </c>
      <c r="F4343" s="120" t="s">
        <v>28</v>
      </c>
      <c r="G4343" s="121">
        <v>12</v>
      </c>
      <c r="H4343" s="134">
        <f>IF(SUMIFS('[1]2025年已发货'!$E:$E,'[1]2025年已发货'!$F:$F,C4343,'[1]2025年已发货'!$C:$C,F4343,'[1]2025年已发货'!$G:$G,I4343,'[1]2025年已发货'!$H:$H,J4343)=0,"未发货",SUMIFS('[1]2025年已发货'!$E:$E,'[1]2025年已发货'!$F:$F,C4343,'[1]2025年已发货'!$C:$C,F4343,'[1]2025年已发货'!$G:$G,I4343,'[1]2025年已发货'!$H:$H,J4343))</f>
        <v>12</v>
      </c>
      <c r="I4343" s="120" t="str">
        <f>VLOOKUP(B4343,辅助信息!E:I,3,FALSE)</f>
        <v>(五冶钢构龙泉东洪片区70亩住宅、商业及配套工程项目二标段)成都市龙泉驿外东洪路地铁2号线惠王陵地铁C口</v>
      </c>
      <c r="J4343" s="120" t="str">
        <f>VLOOKUP(B4343,辅助信息!E:I,4,FALSE)</f>
        <v>蒋嗣伟</v>
      </c>
      <c r="K4343" s="120">
        <f>VLOOKUP(J4343,辅助信息!H:I,2,FALSE)</f>
        <v>15014331252</v>
      </c>
      <c r="L4343" s="122">
        <f>VLOOKUP(B4343,辅助信息!E:J,6,FALSE)</f>
        <v>0</v>
      </c>
      <c r="M4343" s="91">
        <v>45941</v>
      </c>
      <c r="O4343" s="62">
        <f ca="1" t="shared" si="218"/>
        <v>0</v>
      </c>
      <c r="P4343" s="62">
        <f ca="1" t="shared" si="219"/>
        <v>19</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6" t="s">
        <v>228</v>
      </c>
      <c r="C4344" s="70">
        <v>45941</v>
      </c>
      <c r="D4344" s="120" t="str">
        <f>VLOOKUP(B4344,辅助信息!E:K,7,FALSE)</f>
        <v>JWDDCD2025092400190</v>
      </c>
      <c r="E4344" s="120" t="str">
        <f>VLOOKUP(F4344,辅助信息!A:B,2,FALSE)</f>
        <v>螺纹钢</v>
      </c>
      <c r="F4344" s="120" t="s">
        <v>46</v>
      </c>
      <c r="G4344" s="121">
        <v>3</v>
      </c>
      <c r="H4344" s="134">
        <f>IF(SUMIFS('[1]2025年已发货'!$E:$E,'[1]2025年已发货'!$F:$F,C4344,'[1]2025年已发货'!$C:$C,F4344,'[1]2025年已发货'!$G:$G,I4344,'[1]2025年已发货'!$H:$H,J4344)=0,"未发货",SUMIFS('[1]2025年已发货'!$E:$E,'[1]2025年已发货'!$F:$F,C4344,'[1]2025年已发货'!$C:$C,F4344,'[1]2025年已发货'!$G:$G,I4344,'[1]2025年已发货'!$H:$H,J4344))</f>
        <v>3</v>
      </c>
      <c r="I4344" s="120" t="str">
        <f>VLOOKUP(B4344,辅助信息!E:I,3,FALSE)</f>
        <v>(五冶钢构龙泉东洪片区70亩住宅、商业及配套工程项目二标段)成都市龙泉驿外东洪路地铁2号线惠王陵地铁C口</v>
      </c>
      <c r="J4344" s="120" t="str">
        <f>VLOOKUP(B4344,辅助信息!E:I,4,FALSE)</f>
        <v>蒋嗣伟</v>
      </c>
      <c r="K4344" s="120">
        <f>VLOOKUP(J4344,辅助信息!H:I,2,FALSE)</f>
        <v>15014331252</v>
      </c>
      <c r="L4344" s="122">
        <f>VLOOKUP(B4344,辅助信息!E:J,6,FALSE)</f>
        <v>0</v>
      </c>
      <c r="M4344" s="91">
        <v>45941</v>
      </c>
      <c r="O4344" s="62">
        <f ca="1" t="shared" si="218"/>
        <v>0</v>
      </c>
      <c r="P4344" s="62">
        <f ca="1" t="shared" si="219"/>
        <v>19</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6" t="s">
        <v>224</v>
      </c>
      <c r="C4345" s="70">
        <v>45941</v>
      </c>
      <c r="D4345" s="120" t="str">
        <f>VLOOKUP(B4345,辅助信息!E:K,7,FALSE)</f>
        <v>JWDDCD2025092400188</v>
      </c>
      <c r="E4345" s="120" t="str">
        <f>VLOOKUP(F4345,辅助信息!A:B,2,FALSE)</f>
        <v>盘螺</v>
      </c>
      <c r="F4345" s="120" t="s">
        <v>40</v>
      </c>
      <c r="G4345" s="121">
        <v>40</v>
      </c>
      <c r="H4345" s="134"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0" t="str">
        <f>VLOOKUP(B4345,辅助信息!E:I,3,FALSE)</f>
        <v>(五冶钢构龙泉东洪片区70亩住宅、商业及配套工程项目一标段)成都市龙泉驿外东洪路地铁2号线惠王陵地铁C口</v>
      </c>
      <c r="J4345" s="120" t="str">
        <f>VLOOKUP(B4345,辅助信息!E:I,4,FALSE)</f>
        <v>邹爱国</v>
      </c>
      <c r="K4345" s="120">
        <f>VLOOKUP(J4345,辅助信息!H:I,2,FALSE)</f>
        <v>13540231225</v>
      </c>
      <c r="L4345" s="122">
        <f>VLOOKUP(B4345,辅助信息!E:J,6,FALSE)</f>
        <v>0</v>
      </c>
      <c r="M4345" s="91">
        <v>45941</v>
      </c>
      <c r="O4345" s="62">
        <f ca="1" t="shared" si="218"/>
        <v>0</v>
      </c>
      <c r="P4345" s="62">
        <f ca="1" t="shared" si="219"/>
        <v>19</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6" t="s">
        <v>224</v>
      </c>
      <c r="C4346" s="70">
        <v>45941</v>
      </c>
      <c r="D4346" s="120" t="str">
        <f>VLOOKUP(B4346,辅助信息!E:K,7,FALSE)</f>
        <v>JWDDCD2025092400188</v>
      </c>
      <c r="E4346" s="120" t="str">
        <f>VLOOKUP(F4346,辅助信息!A:B,2,FALSE)</f>
        <v>盘螺</v>
      </c>
      <c r="F4346" s="120" t="s">
        <v>41</v>
      </c>
      <c r="G4346" s="121">
        <v>30</v>
      </c>
      <c r="H4346" s="134">
        <f>IF(SUMIFS('[1]2025年已发货'!$E:$E,'[1]2025年已发货'!$F:$F,C4346,'[1]2025年已发货'!$C:$C,F4346,'[1]2025年已发货'!$G:$G,I4346,'[1]2025年已发货'!$H:$H,J4346)=0,"未发货",SUMIFS('[1]2025年已发货'!$E:$E,'[1]2025年已发货'!$F:$F,C4346,'[1]2025年已发货'!$C:$C,F4346,'[1]2025年已发货'!$G:$G,I4346,'[1]2025年已发货'!$H:$H,J4346))</f>
        <v>30</v>
      </c>
      <c r="I4346" s="120" t="str">
        <f>VLOOKUP(B4346,辅助信息!E:I,3,FALSE)</f>
        <v>(五冶钢构龙泉东洪片区70亩住宅、商业及配套工程项目一标段)成都市龙泉驿外东洪路地铁2号线惠王陵地铁C口</v>
      </c>
      <c r="J4346" s="120" t="str">
        <f>VLOOKUP(B4346,辅助信息!E:I,4,FALSE)</f>
        <v>邹爱国</v>
      </c>
      <c r="K4346" s="120">
        <f>VLOOKUP(J4346,辅助信息!H:I,2,FALSE)</f>
        <v>13540231225</v>
      </c>
      <c r="L4346" s="122">
        <f>VLOOKUP(B4346,辅助信息!E:J,6,FALSE)</f>
        <v>0</v>
      </c>
      <c r="M4346" s="91">
        <v>45941</v>
      </c>
      <c r="O4346" s="62">
        <f ca="1" t="shared" si="218"/>
        <v>0</v>
      </c>
      <c r="P4346" s="62">
        <f ca="1" t="shared" si="219"/>
        <v>19</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6" t="s">
        <v>224</v>
      </c>
      <c r="C4347" s="70">
        <v>45941</v>
      </c>
      <c r="D4347" s="120" t="str">
        <f>VLOOKUP(B4347,辅助信息!E:K,7,FALSE)</f>
        <v>JWDDCD2025092400188</v>
      </c>
      <c r="E4347" s="120" t="str">
        <f>VLOOKUP(F4347,辅助信息!A:B,2,FALSE)</f>
        <v>螺纹钢</v>
      </c>
      <c r="F4347" s="120" t="s">
        <v>27</v>
      </c>
      <c r="G4347" s="121">
        <f>30+45</f>
        <v>75</v>
      </c>
      <c r="H4347" s="134">
        <f>IF(SUMIFS('[1]2025年已发货'!$E:$E,'[1]2025年已发货'!$F:$F,C4347,'[1]2025年已发货'!$C:$C,F4347,'[1]2025年已发货'!$G:$G,I4347,'[1]2025年已发货'!$H:$H,J4347)=0,"未发货",SUMIFS('[1]2025年已发货'!$E:$E,'[1]2025年已发货'!$F:$F,C4347,'[1]2025年已发货'!$C:$C,F4347,'[1]2025年已发货'!$G:$G,I4347,'[1]2025年已发货'!$H:$H,J4347))</f>
        <v>75</v>
      </c>
      <c r="I4347" s="120" t="str">
        <f>VLOOKUP(B4347,辅助信息!E:I,3,FALSE)</f>
        <v>(五冶钢构龙泉东洪片区70亩住宅、商业及配套工程项目一标段)成都市龙泉驿外东洪路地铁2号线惠王陵地铁C口</v>
      </c>
      <c r="J4347" s="120" t="str">
        <f>VLOOKUP(B4347,辅助信息!E:I,4,FALSE)</f>
        <v>邹爱国</v>
      </c>
      <c r="K4347" s="120">
        <f>VLOOKUP(J4347,辅助信息!H:I,2,FALSE)</f>
        <v>13540231225</v>
      </c>
      <c r="L4347" s="122">
        <f>VLOOKUP(B4347,辅助信息!E:J,6,FALSE)</f>
        <v>0</v>
      </c>
      <c r="M4347" s="91">
        <v>45941</v>
      </c>
      <c r="O4347" s="62">
        <f ca="1" t="shared" si="218"/>
        <v>0</v>
      </c>
      <c r="P4347" s="62">
        <f ca="1" t="shared" si="219"/>
        <v>19</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6" t="s">
        <v>224</v>
      </c>
      <c r="C4348" s="70">
        <v>45941</v>
      </c>
      <c r="D4348" s="120" t="str">
        <f>VLOOKUP(B4348,辅助信息!E:K,7,FALSE)</f>
        <v>JWDDCD2025092400188</v>
      </c>
      <c r="E4348" s="120" t="str">
        <f>VLOOKUP(F4348,辅助信息!A:B,2,FALSE)</f>
        <v>螺纹钢</v>
      </c>
      <c r="F4348" s="120" t="s">
        <v>19</v>
      </c>
      <c r="G4348" s="121">
        <v>13</v>
      </c>
      <c r="H4348" s="134">
        <f>IF(SUMIFS('[1]2025年已发货'!$E:$E,'[1]2025年已发货'!$F:$F,C4348,'[1]2025年已发货'!$C:$C,F4348,'[1]2025年已发货'!$G:$G,I4348,'[1]2025年已发货'!$H:$H,J4348)=0,"未发货",SUMIFS('[1]2025年已发货'!$E:$E,'[1]2025年已发货'!$F:$F,C4348,'[1]2025年已发货'!$C:$C,F4348,'[1]2025年已发货'!$G:$G,I4348,'[1]2025年已发货'!$H:$H,J4348))</f>
        <v>13</v>
      </c>
      <c r="I4348" s="120" t="str">
        <f>VLOOKUP(B4348,辅助信息!E:I,3,FALSE)</f>
        <v>(五冶钢构龙泉东洪片区70亩住宅、商业及配套工程项目一标段)成都市龙泉驿外东洪路地铁2号线惠王陵地铁C口</v>
      </c>
      <c r="J4348" s="120" t="str">
        <f>VLOOKUP(B4348,辅助信息!E:I,4,FALSE)</f>
        <v>邹爱国</v>
      </c>
      <c r="K4348" s="120">
        <f>VLOOKUP(J4348,辅助信息!H:I,2,FALSE)</f>
        <v>13540231225</v>
      </c>
      <c r="L4348" s="122">
        <f>VLOOKUP(B4348,辅助信息!E:J,6,FALSE)</f>
        <v>0</v>
      </c>
      <c r="M4348" s="91">
        <v>45941</v>
      </c>
      <c r="O4348" s="62">
        <f ca="1" t="shared" si="218"/>
        <v>0</v>
      </c>
      <c r="P4348" s="62">
        <f ca="1" t="shared" si="219"/>
        <v>19</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6" t="s">
        <v>224</v>
      </c>
      <c r="C4349" s="70">
        <v>45941</v>
      </c>
      <c r="D4349" s="120" t="str">
        <f>VLOOKUP(B4349,辅助信息!E:K,7,FALSE)</f>
        <v>JWDDCD2025092400188</v>
      </c>
      <c r="E4349" s="120" t="str">
        <f>VLOOKUP(F4349,辅助信息!A:B,2,FALSE)</f>
        <v>螺纹钢</v>
      </c>
      <c r="F4349" s="120" t="s">
        <v>32</v>
      </c>
      <c r="G4349" s="121">
        <v>16</v>
      </c>
      <c r="H4349" s="134">
        <f>IF(SUMIFS('[1]2025年已发货'!$E:$E,'[1]2025年已发货'!$F:$F,C4349,'[1]2025年已发货'!$C:$C,F4349,'[1]2025年已发货'!$G:$G,I4349,'[1]2025年已发货'!$H:$H,J4349)=0,"未发货",SUMIFS('[1]2025年已发货'!$E:$E,'[1]2025年已发货'!$F:$F,C4349,'[1]2025年已发货'!$C:$C,F4349,'[1]2025年已发货'!$G:$G,I4349,'[1]2025年已发货'!$H:$H,J4349))</f>
        <v>16</v>
      </c>
      <c r="I4349" s="120" t="str">
        <f>VLOOKUP(B4349,辅助信息!E:I,3,FALSE)</f>
        <v>(五冶钢构龙泉东洪片区70亩住宅、商业及配套工程项目一标段)成都市龙泉驿外东洪路地铁2号线惠王陵地铁C口</v>
      </c>
      <c r="J4349" s="120" t="str">
        <f>VLOOKUP(B4349,辅助信息!E:I,4,FALSE)</f>
        <v>邹爱国</v>
      </c>
      <c r="K4349" s="120">
        <f>VLOOKUP(J4349,辅助信息!H:I,2,FALSE)</f>
        <v>13540231225</v>
      </c>
      <c r="L4349" s="122">
        <f>VLOOKUP(B4349,辅助信息!E:J,6,FALSE)</f>
        <v>0</v>
      </c>
      <c r="M4349" s="91">
        <v>45941</v>
      </c>
      <c r="O4349" s="62">
        <f ca="1" t="shared" si="218"/>
        <v>0</v>
      </c>
      <c r="P4349" s="62">
        <f ca="1" t="shared" si="219"/>
        <v>19</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6" t="s">
        <v>224</v>
      </c>
      <c r="C4350" s="70">
        <v>45941</v>
      </c>
      <c r="D4350" s="120" t="str">
        <f>VLOOKUP(B4350,辅助信息!E:K,7,FALSE)</f>
        <v>JWDDCD2025092400188</v>
      </c>
      <c r="E4350" s="120" t="str">
        <f>VLOOKUP(F4350,辅助信息!A:B,2,FALSE)</f>
        <v>螺纹钢</v>
      </c>
      <c r="F4350" s="120" t="s">
        <v>30</v>
      </c>
      <c r="G4350" s="121">
        <v>20</v>
      </c>
      <c r="H4350" s="134">
        <f>IF(SUMIFS('[1]2025年已发货'!$E:$E,'[1]2025年已发货'!$F:$F,C4350,'[1]2025年已发货'!$C:$C,F4350,'[1]2025年已发货'!$G:$G,I4350,'[1]2025年已发货'!$H:$H,J4350)=0,"未发货",SUMIFS('[1]2025年已发货'!$E:$E,'[1]2025年已发货'!$F:$F,C4350,'[1]2025年已发货'!$C:$C,F4350,'[1]2025年已发货'!$G:$G,I4350,'[1]2025年已发货'!$H:$H,J4350))</f>
        <v>20</v>
      </c>
      <c r="I4350" s="120" t="str">
        <f>VLOOKUP(B4350,辅助信息!E:I,3,FALSE)</f>
        <v>(五冶钢构龙泉东洪片区70亩住宅、商业及配套工程项目一标段)成都市龙泉驿外东洪路地铁2号线惠王陵地铁C口</v>
      </c>
      <c r="J4350" s="120" t="str">
        <f>VLOOKUP(B4350,辅助信息!E:I,4,FALSE)</f>
        <v>邹爱国</v>
      </c>
      <c r="K4350" s="120">
        <f>VLOOKUP(J4350,辅助信息!H:I,2,FALSE)</f>
        <v>13540231225</v>
      </c>
      <c r="L4350" s="122">
        <f>VLOOKUP(B4350,辅助信息!E:J,6,FALSE)</f>
        <v>0</v>
      </c>
      <c r="M4350" s="91">
        <v>45941</v>
      </c>
      <c r="O4350" s="62">
        <f ca="1" t="shared" si="218"/>
        <v>0</v>
      </c>
      <c r="P4350" s="62">
        <f ca="1" t="shared" si="219"/>
        <v>19</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6" t="s">
        <v>224</v>
      </c>
      <c r="C4351" s="70">
        <v>45941</v>
      </c>
      <c r="D4351" s="120" t="str">
        <f>VLOOKUP(B4351,辅助信息!E:K,7,FALSE)</f>
        <v>JWDDCD2025092400188</v>
      </c>
      <c r="E4351" s="120" t="str">
        <f>VLOOKUP(F4351,辅助信息!A:B,2,FALSE)</f>
        <v>螺纹钢</v>
      </c>
      <c r="F4351" s="120" t="s">
        <v>33</v>
      </c>
      <c r="G4351" s="121">
        <v>28</v>
      </c>
      <c r="H4351" s="134">
        <f>IF(SUMIFS('[1]2025年已发货'!$E:$E,'[1]2025年已发货'!$F:$F,C4351,'[1]2025年已发货'!$C:$C,F4351,'[1]2025年已发货'!$G:$G,I4351,'[1]2025年已发货'!$H:$H,J4351)=0,"未发货",SUMIFS('[1]2025年已发货'!$E:$E,'[1]2025年已发货'!$F:$F,C4351,'[1]2025年已发货'!$C:$C,F4351,'[1]2025年已发货'!$G:$G,I4351,'[1]2025年已发货'!$H:$H,J4351))</f>
        <v>28</v>
      </c>
      <c r="I4351" s="120" t="str">
        <f>VLOOKUP(B4351,辅助信息!E:I,3,FALSE)</f>
        <v>(五冶钢构龙泉东洪片区70亩住宅、商业及配套工程项目一标段)成都市龙泉驿外东洪路地铁2号线惠王陵地铁C口</v>
      </c>
      <c r="J4351" s="120" t="str">
        <f>VLOOKUP(B4351,辅助信息!E:I,4,FALSE)</f>
        <v>邹爱国</v>
      </c>
      <c r="K4351" s="120">
        <f>VLOOKUP(J4351,辅助信息!H:I,2,FALSE)</f>
        <v>13540231225</v>
      </c>
      <c r="L4351" s="122">
        <f>VLOOKUP(B4351,辅助信息!E:J,6,FALSE)</f>
        <v>0</v>
      </c>
      <c r="M4351" s="91">
        <v>45941</v>
      </c>
      <c r="O4351" s="62">
        <f ca="1" t="shared" si="218"/>
        <v>0</v>
      </c>
      <c r="P4351" s="62">
        <f ca="1" t="shared" si="219"/>
        <v>19</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6" t="s">
        <v>224</v>
      </c>
      <c r="C4352" s="70">
        <v>45941</v>
      </c>
      <c r="D4352" s="120" t="str">
        <f>VLOOKUP(B4352,辅助信息!E:K,7,FALSE)</f>
        <v>JWDDCD2025092400188</v>
      </c>
      <c r="E4352" s="120" t="str">
        <f>VLOOKUP(F4352,辅助信息!A:B,2,FALSE)</f>
        <v>螺纹钢</v>
      </c>
      <c r="F4352" s="120" t="s">
        <v>28</v>
      </c>
      <c r="G4352" s="121">
        <v>36</v>
      </c>
      <c r="H4352" s="134">
        <f>IF(SUMIFS('[1]2025年已发货'!$E:$E,'[1]2025年已发货'!$F:$F,C4352,'[1]2025年已发货'!$C:$C,F4352,'[1]2025年已发货'!$G:$G,I4352,'[1]2025年已发货'!$H:$H,J4352)=0,"未发货",SUMIFS('[1]2025年已发货'!$E:$E,'[1]2025年已发货'!$F:$F,C4352,'[1]2025年已发货'!$C:$C,F4352,'[1]2025年已发货'!$G:$G,I4352,'[1]2025年已发货'!$H:$H,J4352))</f>
        <v>36</v>
      </c>
      <c r="I4352" s="120" t="str">
        <f>VLOOKUP(B4352,辅助信息!E:I,3,FALSE)</f>
        <v>(五冶钢构龙泉东洪片区70亩住宅、商业及配套工程项目一标段)成都市龙泉驿外东洪路地铁2号线惠王陵地铁C口</v>
      </c>
      <c r="J4352" s="120" t="str">
        <f>VLOOKUP(B4352,辅助信息!E:I,4,FALSE)</f>
        <v>邹爱国</v>
      </c>
      <c r="K4352" s="120">
        <f>VLOOKUP(J4352,辅助信息!H:I,2,FALSE)</f>
        <v>13540231225</v>
      </c>
      <c r="L4352" s="122">
        <f>VLOOKUP(B4352,辅助信息!E:J,6,FALSE)</f>
        <v>0</v>
      </c>
      <c r="M4352" s="91">
        <v>45941</v>
      </c>
      <c r="O4352" s="62">
        <f ca="1" t="shared" si="218"/>
        <v>0</v>
      </c>
      <c r="P4352" s="62">
        <f ca="1" t="shared" si="219"/>
        <v>19</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6" t="s">
        <v>224</v>
      </c>
      <c r="C4353" s="70">
        <v>45941</v>
      </c>
      <c r="D4353" s="120" t="str">
        <f>VLOOKUP(B4353,辅助信息!E:K,7,FALSE)</f>
        <v>JWDDCD2025092400188</v>
      </c>
      <c r="E4353" s="120" t="str">
        <f>VLOOKUP(F4353,辅助信息!A:B,2,FALSE)</f>
        <v>螺纹钢</v>
      </c>
      <c r="F4353" s="120" t="s">
        <v>18</v>
      </c>
      <c r="G4353" s="121">
        <v>8</v>
      </c>
      <c r="H4353" s="134">
        <f>IF(SUMIFS('[1]2025年已发货'!$E:$E,'[1]2025年已发货'!$F:$F,C4353,'[1]2025年已发货'!$C:$C,F4353,'[1]2025年已发货'!$G:$G,I4353,'[1]2025年已发货'!$H:$H,J4353)=0,"未发货",SUMIFS('[1]2025年已发货'!$E:$E,'[1]2025年已发货'!$F:$F,C4353,'[1]2025年已发货'!$C:$C,F4353,'[1]2025年已发货'!$G:$G,I4353,'[1]2025年已发货'!$H:$H,J4353))</f>
        <v>8</v>
      </c>
      <c r="I4353" s="120" t="str">
        <f>VLOOKUP(B4353,辅助信息!E:I,3,FALSE)</f>
        <v>(五冶钢构龙泉东洪片区70亩住宅、商业及配套工程项目一标段)成都市龙泉驿外东洪路地铁2号线惠王陵地铁C口</v>
      </c>
      <c r="J4353" s="120" t="str">
        <f>VLOOKUP(B4353,辅助信息!E:I,4,FALSE)</f>
        <v>邹爱国</v>
      </c>
      <c r="K4353" s="120">
        <f>VLOOKUP(J4353,辅助信息!H:I,2,FALSE)</f>
        <v>13540231225</v>
      </c>
      <c r="L4353" s="122">
        <f>VLOOKUP(B4353,辅助信息!E:J,6,FALSE)</f>
        <v>0</v>
      </c>
      <c r="M4353" s="91">
        <v>45941</v>
      </c>
      <c r="O4353" s="62">
        <f ca="1" t="shared" si="218"/>
        <v>0</v>
      </c>
      <c r="P4353" s="62">
        <f ca="1" t="shared" si="219"/>
        <v>19</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6" t="s">
        <v>226</v>
      </c>
      <c r="C4354" s="70">
        <v>45941</v>
      </c>
      <c r="D4354" s="120" t="str">
        <f>VLOOKUP(B4354,辅助信息!E:K,7,FALSE)</f>
        <v>JWDDCD2025092400211</v>
      </c>
      <c r="E4354" s="120" t="str">
        <f>VLOOKUP(F4354,辅助信息!A:B,2,FALSE)</f>
        <v>盘螺</v>
      </c>
      <c r="F4354" s="120" t="s">
        <v>40</v>
      </c>
      <c r="G4354" s="121">
        <v>35</v>
      </c>
      <c r="H4354" s="134"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0" t="str">
        <f>VLOOKUP(B4354,辅助信息!E:I,3,FALSE)</f>
        <v>(五冶钢构龙泉东洪片区85亩住宅、商业及配套工程项目二标段)成都市龙泉驿外东洪路地铁2号线惠王陵地铁C口</v>
      </c>
      <c r="J4354" s="120" t="str">
        <f>VLOOKUP(B4354,辅助信息!E:I,4,FALSE)</f>
        <v>李渊</v>
      </c>
      <c r="K4354" s="120">
        <f>VLOOKUP(J4354,辅助信息!H:I,2,FALSE)</f>
        <v>18381013849</v>
      </c>
      <c r="L4354" s="122">
        <f>VLOOKUP(B4354,辅助信息!E:J,6,FALSE)</f>
        <v>0</v>
      </c>
      <c r="M4354" s="91">
        <v>45941</v>
      </c>
      <c r="O4354" s="62">
        <f ca="1" t="shared" si="218"/>
        <v>0</v>
      </c>
      <c r="P4354" s="62">
        <f ca="1" t="shared" si="219"/>
        <v>19</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6" t="s">
        <v>226</v>
      </c>
      <c r="C4355" s="70">
        <v>45941</v>
      </c>
      <c r="D4355" s="120" t="str">
        <f>VLOOKUP(B4355,辅助信息!E:K,7,FALSE)</f>
        <v>JWDDCD2025092400211</v>
      </c>
      <c r="E4355" s="120" t="str">
        <f>VLOOKUP(F4355,辅助信息!A:B,2,FALSE)</f>
        <v>盘螺</v>
      </c>
      <c r="F4355" s="120" t="s">
        <v>41</v>
      </c>
      <c r="G4355" s="121">
        <v>35</v>
      </c>
      <c r="H4355" s="134">
        <f>IF(SUMIFS('[1]2025年已发货'!$E:$E,'[1]2025年已发货'!$F:$F,C4355,'[1]2025年已发货'!$C:$C,F4355,'[1]2025年已发货'!$G:$G,I4355,'[1]2025年已发货'!$H:$H,J4355)=0,"未发货",SUMIFS('[1]2025年已发货'!$E:$E,'[1]2025年已发货'!$F:$F,C4355,'[1]2025年已发货'!$C:$C,F4355,'[1]2025年已发货'!$G:$G,I4355,'[1]2025年已发货'!$H:$H,J4355))</f>
        <v>35</v>
      </c>
      <c r="I4355" s="120" t="str">
        <f>VLOOKUP(B4355,辅助信息!E:I,3,FALSE)</f>
        <v>(五冶钢构龙泉东洪片区85亩住宅、商业及配套工程项目二标段)成都市龙泉驿外东洪路地铁2号线惠王陵地铁C口</v>
      </c>
      <c r="J4355" s="120" t="str">
        <f>VLOOKUP(B4355,辅助信息!E:I,4,FALSE)</f>
        <v>李渊</v>
      </c>
      <c r="K4355" s="120">
        <f>VLOOKUP(J4355,辅助信息!H:I,2,FALSE)</f>
        <v>18381013849</v>
      </c>
      <c r="L4355" s="122">
        <f>VLOOKUP(B4355,辅助信息!E:J,6,FALSE)</f>
        <v>0</v>
      </c>
      <c r="M4355" s="91">
        <v>45941</v>
      </c>
      <c r="O4355" s="62">
        <f ca="1" t="shared" si="218"/>
        <v>0</v>
      </c>
      <c r="P4355" s="62">
        <f ca="1" t="shared" si="219"/>
        <v>19</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6" t="s">
        <v>226</v>
      </c>
      <c r="C4356" s="70">
        <v>45941</v>
      </c>
      <c r="D4356" s="120" t="str">
        <f>VLOOKUP(B4356,辅助信息!E:K,7,FALSE)</f>
        <v>JWDDCD2025092400211</v>
      </c>
      <c r="E4356" s="120" t="str">
        <f>VLOOKUP(F4356,辅助信息!A:B,2,FALSE)</f>
        <v>盘螺</v>
      </c>
      <c r="F4356" s="120" t="s">
        <v>26</v>
      </c>
      <c r="G4356" s="121">
        <v>35</v>
      </c>
      <c r="H4356" s="134"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0" t="str">
        <f>VLOOKUP(B4356,辅助信息!E:I,3,FALSE)</f>
        <v>(五冶钢构龙泉东洪片区85亩住宅、商业及配套工程项目二标段)成都市龙泉驿外东洪路地铁2号线惠王陵地铁C口</v>
      </c>
      <c r="J4356" s="120" t="str">
        <f>VLOOKUP(B4356,辅助信息!E:I,4,FALSE)</f>
        <v>李渊</v>
      </c>
      <c r="K4356" s="120">
        <f>VLOOKUP(J4356,辅助信息!H:I,2,FALSE)</f>
        <v>18381013849</v>
      </c>
      <c r="L4356" s="122">
        <f>VLOOKUP(B4356,辅助信息!E:J,6,FALSE)</f>
        <v>0</v>
      </c>
      <c r="M4356" s="91">
        <v>45941</v>
      </c>
      <c r="O4356" s="62">
        <f ca="1" t="shared" si="218"/>
        <v>0</v>
      </c>
      <c r="P4356" s="62">
        <f ca="1" t="shared" si="219"/>
        <v>19</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6" t="s">
        <v>226</v>
      </c>
      <c r="C4357" s="70">
        <v>45941</v>
      </c>
      <c r="D4357" s="120" t="str">
        <f>VLOOKUP(B4357,辅助信息!E:K,7,FALSE)</f>
        <v>JWDDCD2025092400211</v>
      </c>
      <c r="E4357" s="120" t="str">
        <f>VLOOKUP(F4357,辅助信息!A:B,2,FALSE)</f>
        <v>螺纹钢</v>
      </c>
      <c r="F4357" s="120" t="s">
        <v>19</v>
      </c>
      <c r="G4357" s="121">
        <v>35</v>
      </c>
      <c r="H4357" s="134">
        <f>IF(SUMIFS('[1]2025年已发货'!$E:$E,'[1]2025年已发货'!$F:$F,C4357,'[1]2025年已发货'!$C:$C,F4357,'[1]2025年已发货'!$G:$G,I4357,'[1]2025年已发货'!$H:$H,J4357)=0,"未发货",SUMIFS('[1]2025年已发货'!$E:$E,'[1]2025年已发货'!$F:$F,C4357,'[1]2025年已发货'!$C:$C,F4357,'[1]2025年已发货'!$G:$G,I4357,'[1]2025年已发货'!$H:$H,J4357))</f>
        <v>35</v>
      </c>
      <c r="I4357" s="120" t="str">
        <f>VLOOKUP(B4357,辅助信息!E:I,3,FALSE)</f>
        <v>(五冶钢构龙泉东洪片区85亩住宅、商业及配套工程项目二标段)成都市龙泉驿外东洪路地铁2号线惠王陵地铁C口</v>
      </c>
      <c r="J4357" s="120" t="str">
        <f>VLOOKUP(B4357,辅助信息!E:I,4,FALSE)</f>
        <v>李渊</v>
      </c>
      <c r="K4357" s="120">
        <f>VLOOKUP(J4357,辅助信息!H:I,2,FALSE)</f>
        <v>18381013849</v>
      </c>
      <c r="L4357" s="122">
        <f>VLOOKUP(B4357,辅助信息!E:J,6,FALSE)</f>
        <v>0</v>
      </c>
      <c r="M4357" s="91">
        <v>45941</v>
      </c>
      <c r="O4357" s="62">
        <f ca="1" t="shared" si="218"/>
        <v>0</v>
      </c>
      <c r="P4357" s="62">
        <f ca="1" t="shared" si="219"/>
        <v>19</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6" t="s">
        <v>226</v>
      </c>
      <c r="C4358" s="70">
        <v>45941</v>
      </c>
      <c r="D4358" s="120" t="str">
        <f>VLOOKUP(B4358,辅助信息!E:K,7,FALSE)</f>
        <v>JWDDCD2025092400211</v>
      </c>
      <c r="E4358" s="120" t="str">
        <f>VLOOKUP(F4358,辅助信息!A:B,2,FALSE)</f>
        <v>螺纹钢</v>
      </c>
      <c r="F4358" s="120" t="s">
        <v>33</v>
      </c>
      <c r="G4358" s="121">
        <v>25</v>
      </c>
      <c r="H4358" s="134">
        <f>IF(SUMIFS('[1]2025年已发货'!$E:$E,'[1]2025年已发货'!$F:$F,C4358,'[1]2025年已发货'!$C:$C,F4358,'[1]2025年已发货'!$G:$G,I4358,'[1]2025年已发货'!$H:$H,J4358)=0,"未发货",SUMIFS('[1]2025年已发货'!$E:$E,'[1]2025年已发货'!$F:$F,C4358,'[1]2025年已发货'!$C:$C,F4358,'[1]2025年已发货'!$G:$G,I4358,'[1]2025年已发货'!$H:$H,J4358))</f>
        <v>25</v>
      </c>
      <c r="I4358" s="120" t="str">
        <f>VLOOKUP(B4358,辅助信息!E:I,3,FALSE)</f>
        <v>(五冶钢构龙泉东洪片区85亩住宅、商业及配套工程项目二标段)成都市龙泉驿外东洪路地铁2号线惠王陵地铁C口</v>
      </c>
      <c r="J4358" s="120" t="str">
        <f>VLOOKUP(B4358,辅助信息!E:I,4,FALSE)</f>
        <v>李渊</v>
      </c>
      <c r="K4358" s="120">
        <f>VLOOKUP(J4358,辅助信息!H:I,2,FALSE)</f>
        <v>18381013849</v>
      </c>
      <c r="L4358" s="122">
        <f>VLOOKUP(B4358,辅助信息!E:J,6,FALSE)</f>
        <v>0</v>
      </c>
      <c r="M4358" s="91">
        <v>45941</v>
      </c>
      <c r="O4358" s="62">
        <f ca="1" t="shared" si="218"/>
        <v>0</v>
      </c>
      <c r="P4358" s="62">
        <f ca="1" t="shared" si="219"/>
        <v>19</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6" t="s">
        <v>226</v>
      </c>
      <c r="C4359" s="70">
        <v>45941</v>
      </c>
      <c r="D4359" s="120" t="str">
        <f>VLOOKUP(B4359,辅助信息!E:K,7,FALSE)</f>
        <v>JWDDCD2025092400211</v>
      </c>
      <c r="E4359" s="120" t="str">
        <f>VLOOKUP(F4359,辅助信息!A:B,2,FALSE)</f>
        <v>螺纹钢</v>
      </c>
      <c r="F4359" s="120" t="s">
        <v>28</v>
      </c>
      <c r="G4359" s="121">
        <v>21</v>
      </c>
      <c r="H4359" s="134">
        <f>IF(SUMIFS('[1]2025年已发货'!$E:$E,'[1]2025年已发货'!$F:$F,C4359,'[1]2025年已发货'!$C:$C,F4359,'[1]2025年已发货'!$G:$G,I4359,'[1]2025年已发货'!$H:$H,J4359)=0,"未发货",SUMIFS('[1]2025年已发货'!$E:$E,'[1]2025年已发货'!$F:$F,C4359,'[1]2025年已发货'!$C:$C,F4359,'[1]2025年已发货'!$G:$G,I4359,'[1]2025年已发货'!$H:$H,J4359))</f>
        <v>21</v>
      </c>
      <c r="I4359" s="120" t="str">
        <f>VLOOKUP(B4359,辅助信息!E:I,3,FALSE)</f>
        <v>(五冶钢构龙泉东洪片区85亩住宅、商业及配套工程项目二标段)成都市龙泉驿外东洪路地铁2号线惠王陵地铁C口</v>
      </c>
      <c r="J4359" s="120" t="str">
        <f>VLOOKUP(B4359,辅助信息!E:I,4,FALSE)</f>
        <v>李渊</v>
      </c>
      <c r="K4359" s="120">
        <f>VLOOKUP(J4359,辅助信息!H:I,2,FALSE)</f>
        <v>18381013849</v>
      </c>
      <c r="L4359" s="122">
        <f>VLOOKUP(B4359,辅助信息!E:J,6,FALSE)</f>
        <v>0</v>
      </c>
      <c r="M4359" s="91">
        <v>45941</v>
      </c>
      <c r="O4359" s="62">
        <f ca="1" t="shared" si="218"/>
        <v>0</v>
      </c>
      <c r="P4359" s="62">
        <f ca="1" t="shared" si="219"/>
        <v>19</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6" t="s">
        <v>226</v>
      </c>
      <c r="C4360" s="70">
        <v>45941</v>
      </c>
      <c r="D4360" s="120" t="str">
        <f>VLOOKUP(B4360,辅助信息!E:K,7,FALSE)</f>
        <v>JWDDCD2025092400211</v>
      </c>
      <c r="E4360" s="120" t="str">
        <f>VLOOKUP(F4360,辅助信息!A:B,2,FALSE)</f>
        <v>螺纹钢</v>
      </c>
      <c r="F4360" s="120" t="s">
        <v>18</v>
      </c>
      <c r="G4360" s="121">
        <v>9</v>
      </c>
      <c r="H4360" s="134">
        <f>IF(SUMIFS('[1]2025年已发货'!$E:$E,'[1]2025年已发货'!$F:$F,C4360,'[1]2025年已发货'!$C:$C,F4360,'[1]2025年已发货'!$G:$G,I4360,'[1]2025年已发货'!$H:$H,J4360)=0,"未发货",SUMIFS('[1]2025年已发货'!$E:$E,'[1]2025年已发货'!$F:$F,C4360,'[1]2025年已发货'!$C:$C,F4360,'[1]2025年已发货'!$G:$G,I4360,'[1]2025年已发货'!$H:$H,J4360))</f>
        <v>9</v>
      </c>
      <c r="I4360" s="120" t="str">
        <f>VLOOKUP(B4360,辅助信息!E:I,3,FALSE)</f>
        <v>(五冶钢构龙泉东洪片区85亩住宅、商业及配套工程项目二标段)成都市龙泉驿外东洪路地铁2号线惠王陵地铁C口</v>
      </c>
      <c r="J4360" s="120" t="str">
        <f>VLOOKUP(B4360,辅助信息!E:I,4,FALSE)</f>
        <v>李渊</v>
      </c>
      <c r="K4360" s="120">
        <f>VLOOKUP(J4360,辅助信息!H:I,2,FALSE)</f>
        <v>18381013849</v>
      </c>
      <c r="L4360" s="122">
        <f>VLOOKUP(B4360,辅助信息!E:J,6,FALSE)</f>
        <v>0</v>
      </c>
      <c r="M4360" s="91">
        <v>45941</v>
      </c>
      <c r="O4360" s="62">
        <f ca="1" t="shared" si="218"/>
        <v>0</v>
      </c>
      <c r="P4360" s="62">
        <f ca="1" t="shared" si="219"/>
        <v>19</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29" t="s">
        <v>234</v>
      </c>
      <c r="B4361" s="136" t="s">
        <v>229</v>
      </c>
      <c r="C4361" s="70">
        <v>45941</v>
      </c>
      <c r="D4361" s="120" t="str">
        <f>VLOOKUP(B4361,辅助信息!E:K,7,FALSE)</f>
        <v>JWDDCD2025092400212</v>
      </c>
      <c r="E4361" s="120" t="str">
        <f>VLOOKUP(F4361,辅助信息!A:B,2,FALSE)</f>
        <v>盘螺</v>
      </c>
      <c r="F4361" s="120" t="s">
        <v>49</v>
      </c>
      <c r="G4361" s="121">
        <v>8</v>
      </c>
      <c r="H4361" s="134">
        <f>IF(SUMIFS('[1]2025年已发货'!$E:$E,'[1]2025年已发货'!$F:$F,C4361,'[1]2025年已发货'!$C:$C,F4361,'[1]2025年已发货'!$G:$G,I4361,'[1]2025年已发货'!$H:$H,J4361)=0,"未发货",SUMIFS('[1]2025年已发货'!$E:$E,'[1]2025年已发货'!$F:$F,C4361,'[1]2025年已发货'!$C:$C,F4361,'[1]2025年已发货'!$G:$G,I4361,'[1]2025年已发货'!$H:$H,J4361))</f>
        <v>8</v>
      </c>
      <c r="I4361" s="120" t="str">
        <f>VLOOKUP(B4361,辅助信息!E:I,3,FALSE)</f>
        <v>(五冶钢构龙泉东洪片区85亩住宅、商业及配套工程项目三标段)成都市龙泉驿外东洪路地铁2号线惠王陵地铁C口</v>
      </c>
      <c r="J4361" s="120" t="str">
        <f>VLOOKUP(B4361,辅助信息!E:I,4,FALSE)</f>
        <v>王军宝</v>
      </c>
      <c r="K4361" s="120">
        <f>VLOOKUP(J4361,辅助信息!H:I,2,FALSE)</f>
        <v>13889142392</v>
      </c>
      <c r="L4361" s="122">
        <f>VLOOKUP(B4361,辅助信息!E:J,6,FALSE)</f>
        <v>0</v>
      </c>
      <c r="M4361" s="91">
        <v>45941</v>
      </c>
      <c r="O4361" s="62">
        <f ca="1" t="shared" si="218"/>
        <v>0</v>
      </c>
      <c r="P4361" s="62">
        <f ca="1" t="shared" si="219"/>
        <v>19</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29" t="s">
        <v>234</v>
      </c>
      <c r="B4362" s="136" t="s">
        <v>229</v>
      </c>
      <c r="C4362" s="70">
        <v>45941</v>
      </c>
      <c r="D4362" s="120" t="str">
        <f>VLOOKUP(B4362,辅助信息!E:K,7,FALSE)</f>
        <v>JWDDCD2025092400212</v>
      </c>
      <c r="E4362" s="120" t="str">
        <f>VLOOKUP(F4362,辅助信息!A:B,2,FALSE)</f>
        <v>盘螺</v>
      </c>
      <c r="F4362" s="120" t="s">
        <v>40</v>
      </c>
      <c r="G4362" s="121">
        <v>69</v>
      </c>
      <c r="H4362" s="134"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0" t="str">
        <f>VLOOKUP(B4362,辅助信息!E:I,3,FALSE)</f>
        <v>(五冶钢构龙泉东洪片区85亩住宅、商业及配套工程项目三标段)成都市龙泉驿外东洪路地铁2号线惠王陵地铁C口</v>
      </c>
      <c r="J4362" s="120" t="str">
        <f>VLOOKUP(B4362,辅助信息!E:I,4,FALSE)</f>
        <v>王军宝</v>
      </c>
      <c r="K4362" s="120">
        <f>VLOOKUP(J4362,辅助信息!H:I,2,FALSE)</f>
        <v>13889142392</v>
      </c>
      <c r="L4362" s="122">
        <f>VLOOKUP(B4362,辅助信息!E:J,6,FALSE)</f>
        <v>0</v>
      </c>
      <c r="M4362" s="91">
        <v>45941</v>
      </c>
      <c r="O4362" s="62">
        <f ca="1" t="shared" si="218"/>
        <v>0</v>
      </c>
      <c r="P4362" s="62">
        <f ca="1" t="shared" si="219"/>
        <v>19</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29" t="s">
        <v>234</v>
      </c>
      <c r="B4363" s="136" t="s">
        <v>229</v>
      </c>
      <c r="C4363" s="70">
        <v>45941</v>
      </c>
      <c r="D4363" s="120" t="str">
        <f>VLOOKUP(B4363,辅助信息!E:K,7,FALSE)</f>
        <v>JWDDCD2025092400212</v>
      </c>
      <c r="E4363" s="120" t="str">
        <f>VLOOKUP(F4363,辅助信息!A:B,2,FALSE)</f>
        <v>盘螺</v>
      </c>
      <c r="F4363" s="120" t="s">
        <v>41</v>
      </c>
      <c r="G4363" s="121">
        <v>12</v>
      </c>
      <c r="H4363" s="134"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0" t="str">
        <f>VLOOKUP(B4363,辅助信息!E:I,3,FALSE)</f>
        <v>(五冶钢构龙泉东洪片区85亩住宅、商业及配套工程项目三标段)成都市龙泉驿外东洪路地铁2号线惠王陵地铁C口</v>
      </c>
      <c r="J4363" s="120" t="str">
        <f>VLOOKUP(B4363,辅助信息!E:I,4,FALSE)</f>
        <v>王军宝</v>
      </c>
      <c r="K4363" s="120">
        <f>VLOOKUP(J4363,辅助信息!H:I,2,FALSE)</f>
        <v>13889142392</v>
      </c>
      <c r="L4363" s="122">
        <f>VLOOKUP(B4363,辅助信息!E:J,6,FALSE)</f>
        <v>0</v>
      </c>
      <c r="M4363" s="91">
        <v>45941</v>
      </c>
      <c r="O4363" s="62">
        <f ca="1" t="shared" si="218"/>
        <v>0</v>
      </c>
      <c r="P4363" s="62">
        <f ca="1" t="shared" si="219"/>
        <v>19</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6" t="s">
        <v>229</v>
      </c>
      <c r="C4364" s="70">
        <v>45941</v>
      </c>
      <c r="D4364" s="120" t="str">
        <f>VLOOKUP(B4364,辅助信息!E:K,7,FALSE)</f>
        <v>JWDDCD2025092400212</v>
      </c>
      <c r="E4364" s="120" t="str">
        <f>VLOOKUP(F4364,辅助信息!A:B,2,FALSE)</f>
        <v>螺纹钢</v>
      </c>
      <c r="F4364" s="120" t="s">
        <v>27</v>
      </c>
      <c r="G4364" s="121">
        <v>30</v>
      </c>
      <c r="H4364" s="134">
        <f>IF(SUMIFS('[1]2025年已发货'!$E:$E,'[1]2025年已发货'!$F:$F,C4364,'[1]2025年已发货'!$C:$C,F4364,'[1]2025年已发货'!$G:$G,I4364,'[1]2025年已发货'!$H:$H,J4364)=0,"未发货",SUMIFS('[1]2025年已发货'!$E:$E,'[1]2025年已发货'!$F:$F,C4364,'[1]2025年已发货'!$C:$C,F4364,'[1]2025年已发货'!$G:$G,I4364,'[1]2025年已发货'!$H:$H,J4364))</f>
        <v>30</v>
      </c>
      <c r="I4364" s="120" t="str">
        <f>VLOOKUP(B4364,辅助信息!E:I,3,FALSE)</f>
        <v>(五冶钢构龙泉东洪片区85亩住宅、商业及配套工程项目三标段)成都市龙泉驿外东洪路地铁2号线惠王陵地铁C口</v>
      </c>
      <c r="J4364" s="120" t="str">
        <f>VLOOKUP(B4364,辅助信息!E:I,4,FALSE)</f>
        <v>王军宝</v>
      </c>
      <c r="K4364" s="120">
        <f>VLOOKUP(J4364,辅助信息!H:I,2,FALSE)</f>
        <v>13889142392</v>
      </c>
      <c r="L4364" s="122">
        <f>VLOOKUP(B4364,辅助信息!E:J,6,FALSE)</f>
        <v>0</v>
      </c>
      <c r="M4364" s="91">
        <v>45941</v>
      </c>
      <c r="O4364" s="62">
        <f ca="1" t="shared" si="218"/>
        <v>0</v>
      </c>
      <c r="P4364" s="62">
        <f ca="1" t="shared" si="219"/>
        <v>19</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6" t="s">
        <v>229</v>
      </c>
      <c r="C4365" s="70">
        <v>45941</v>
      </c>
      <c r="D4365" s="120" t="str">
        <f>VLOOKUP(B4365,辅助信息!E:K,7,FALSE)</f>
        <v>JWDDCD2025092400212</v>
      </c>
      <c r="E4365" s="120" t="str">
        <f>VLOOKUP(F4365,辅助信息!A:B,2,FALSE)</f>
        <v>螺纹钢</v>
      </c>
      <c r="F4365" s="120" t="s">
        <v>19</v>
      </c>
      <c r="G4365" s="121">
        <v>6</v>
      </c>
      <c r="H4365" s="134">
        <f>IF(SUMIFS('[1]2025年已发货'!$E:$E,'[1]2025年已发货'!$F:$F,C4365,'[1]2025年已发货'!$C:$C,F4365,'[1]2025年已发货'!$G:$G,I4365,'[1]2025年已发货'!$H:$H,J4365)=0,"未发货",SUMIFS('[1]2025年已发货'!$E:$E,'[1]2025年已发货'!$F:$F,C4365,'[1]2025年已发货'!$C:$C,F4365,'[1]2025年已发货'!$G:$G,I4365,'[1]2025年已发货'!$H:$H,J4365))</f>
        <v>6</v>
      </c>
      <c r="I4365" s="120" t="str">
        <f>VLOOKUP(B4365,辅助信息!E:I,3,FALSE)</f>
        <v>(五冶钢构龙泉东洪片区85亩住宅、商业及配套工程项目三标段)成都市龙泉驿外东洪路地铁2号线惠王陵地铁C口</v>
      </c>
      <c r="J4365" s="120" t="str">
        <f>VLOOKUP(B4365,辅助信息!E:I,4,FALSE)</f>
        <v>王军宝</v>
      </c>
      <c r="K4365" s="120">
        <f>VLOOKUP(J4365,辅助信息!H:I,2,FALSE)</f>
        <v>13889142392</v>
      </c>
      <c r="L4365" s="122">
        <f>VLOOKUP(B4365,辅助信息!E:J,6,FALSE)</f>
        <v>0</v>
      </c>
      <c r="M4365" s="91">
        <v>45941</v>
      </c>
      <c r="O4365" s="62">
        <f ca="1" t="shared" si="218"/>
        <v>0</v>
      </c>
      <c r="P4365" s="62">
        <f ca="1" t="shared" si="219"/>
        <v>19</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6" t="s">
        <v>229</v>
      </c>
      <c r="C4366" s="70">
        <v>45941</v>
      </c>
      <c r="D4366" s="120" t="str">
        <f>VLOOKUP(B4366,辅助信息!E:K,7,FALSE)</f>
        <v>JWDDCD2025092400212</v>
      </c>
      <c r="E4366" s="120" t="str">
        <f>VLOOKUP(F4366,辅助信息!A:B,2,FALSE)</f>
        <v>螺纹钢</v>
      </c>
      <c r="F4366" s="120" t="s">
        <v>32</v>
      </c>
      <c r="G4366" s="121">
        <v>10</v>
      </c>
      <c r="H4366" s="134">
        <f>IF(SUMIFS('[1]2025年已发货'!$E:$E,'[1]2025年已发货'!$F:$F,C4366,'[1]2025年已发货'!$C:$C,F4366,'[1]2025年已发货'!$G:$G,I4366,'[1]2025年已发货'!$H:$H,J4366)=0,"未发货",SUMIFS('[1]2025年已发货'!$E:$E,'[1]2025年已发货'!$F:$F,C4366,'[1]2025年已发货'!$C:$C,F4366,'[1]2025年已发货'!$G:$G,I4366,'[1]2025年已发货'!$H:$H,J4366))</f>
        <v>10</v>
      </c>
      <c r="I4366" s="120" t="str">
        <f>VLOOKUP(B4366,辅助信息!E:I,3,FALSE)</f>
        <v>(五冶钢构龙泉东洪片区85亩住宅、商业及配套工程项目三标段)成都市龙泉驿外东洪路地铁2号线惠王陵地铁C口</v>
      </c>
      <c r="J4366" s="120" t="str">
        <f>VLOOKUP(B4366,辅助信息!E:I,4,FALSE)</f>
        <v>王军宝</v>
      </c>
      <c r="K4366" s="120">
        <f>VLOOKUP(J4366,辅助信息!H:I,2,FALSE)</f>
        <v>13889142392</v>
      </c>
      <c r="L4366" s="122">
        <f>VLOOKUP(B4366,辅助信息!E:J,6,FALSE)</f>
        <v>0</v>
      </c>
      <c r="M4366" s="91">
        <v>45941</v>
      </c>
      <c r="O4366" s="62">
        <f ca="1" t="shared" si="218"/>
        <v>0</v>
      </c>
      <c r="P4366" s="62">
        <f ca="1" t="shared" si="219"/>
        <v>19</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6" t="s">
        <v>229</v>
      </c>
      <c r="C4367" s="70">
        <v>45941</v>
      </c>
      <c r="D4367" s="120" t="str">
        <f>VLOOKUP(B4367,辅助信息!E:K,7,FALSE)</f>
        <v>JWDDCD2025092400212</v>
      </c>
      <c r="E4367" s="120" t="str">
        <f>VLOOKUP(F4367,辅助信息!A:B,2,FALSE)</f>
        <v>螺纹钢</v>
      </c>
      <c r="F4367" s="120" t="s">
        <v>30</v>
      </c>
      <c r="G4367" s="121">
        <v>14</v>
      </c>
      <c r="H4367" s="134">
        <f>IF(SUMIFS('[1]2025年已发货'!$E:$E,'[1]2025年已发货'!$F:$F,C4367,'[1]2025年已发货'!$C:$C,F4367,'[1]2025年已发货'!$G:$G,I4367,'[1]2025年已发货'!$H:$H,J4367)=0,"未发货",SUMIFS('[1]2025年已发货'!$E:$E,'[1]2025年已发货'!$F:$F,C4367,'[1]2025年已发货'!$C:$C,F4367,'[1]2025年已发货'!$G:$G,I4367,'[1]2025年已发货'!$H:$H,J4367))</f>
        <v>14</v>
      </c>
      <c r="I4367" s="120" t="str">
        <f>VLOOKUP(B4367,辅助信息!E:I,3,FALSE)</f>
        <v>(五冶钢构龙泉东洪片区85亩住宅、商业及配套工程项目三标段)成都市龙泉驿外东洪路地铁2号线惠王陵地铁C口</v>
      </c>
      <c r="J4367" s="120" t="str">
        <f>VLOOKUP(B4367,辅助信息!E:I,4,FALSE)</f>
        <v>王军宝</v>
      </c>
      <c r="K4367" s="120">
        <f>VLOOKUP(J4367,辅助信息!H:I,2,FALSE)</f>
        <v>13889142392</v>
      </c>
      <c r="L4367" s="122">
        <f>VLOOKUP(B4367,辅助信息!E:J,6,FALSE)</f>
        <v>0</v>
      </c>
      <c r="M4367" s="91">
        <v>45941</v>
      </c>
      <c r="O4367" s="62">
        <f ca="1" t="shared" si="218"/>
        <v>0</v>
      </c>
      <c r="P4367" s="62">
        <f ca="1" t="shared" si="219"/>
        <v>19</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6" t="s">
        <v>229</v>
      </c>
      <c r="C4368" s="70">
        <v>45941</v>
      </c>
      <c r="D4368" s="120" t="str">
        <f>VLOOKUP(B4368,辅助信息!E:K,7,FALSE)</f>
        <v>JWDDCD2025092400212</v>
      </c>
      <c r="E4368" s="120" t="str">
        <f>VLOOKUP(F4368,辅助信息!A:B,2,FALSE)</f>
        <v>螺纹钢</v>
      </c>
      <c r="F4368" s="120" t="s">
        <v>33</v>
      </c>
      <c r="G4368" s="121">
        <v>15</v>
      </c>
      <c r="H4368" s="134">
        <f>IF(SUMIFS('[1]2025年已发货'!$E:$E,'[1]2025年已发货'!$F:$F,C4368,'[1]2025年已发货'!$C:$C,F4368,'[1]2025年已发货'!$G:$G,I4368,'[1]2025年已发货'!$H:$H,J4368)=0,"未发货",SUMIFS('[1]2025年已发货'!$E:$E,'[1]2025年已发货'!$F:$F,C4368,'[1]2025年已发货'!$C:$C,F4368,'[1]2025年已发货'!$G:$G,I4368,'[1]2025年已发货'!$H:$H,J4368))</f>
        <v>15</v>
      </c>
      <c r="I4368" s="120" t="str">
        <f>VLOOKUP(B4368,辅助信息!E:I,3,FALSE)</f>
        <v>(五冶钢构龙泉东洪片区85亩住宅、商业及配套工程项目三标段)成都市龙泉驿外东洪路地铁2号线惠王陵地铁C口</v>
      </c>
      <c r="J4368" s="120" t="str">
        <f>VLOOKUP(B4368,辅助信息!E:I,4,FALSE)</f>
        <v>王军宝</v>
      </c>
      <c r="K4368" s="120">
        <f>VLOOKUP(J4368,辅助信息!H:I,2,FALSE)</f>
        <v>13889142392</v>
      </c>
      <c r="L4368" s="122">
        <f>VLOOKUP(B4368,辅助信息!E:J,6,FALSE)</f>
        <v>0</v>
      </c>
      <c r="M4368" s="91">
        <v>45941</v>
      </c>
      <c r="O4368" s="62">
        <f ca="1" t="shared" si="218"/>
        <v>0</v>
      </c>
      <c r="P4368" s="62">
        <f ca="1" t="shared" si="219"/>
        <v>19</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6" t="s">
        <v>229</v>
      </c>
      <c r="C4369" s="70">
        <v>45941</v>
      </c>
      <c r="D4369" s="120" t="str">
        <f>VLOOKUP(B4369,辅助信息!E:K,7,FALSE)</f>
        <v>JWDDCD2025092400212</v>
      </c>
      <c r="E4369" s="120" t="str">
        <f>VLOOKUP(F4369,辅助信息!A:B,2,FALSE)</f>
        <v>螺纹钢</v>
      </c>
      <c r="F4369" s="120" t="s">
        <v>28</v>
      </c>
      <c r="G4369" s="121">
        <v>8</v>
      </c>
      <c r="H4369" s="134">
        <f>IF(SUMIFS('[1]2025年已发货'!$E:$E,'[1]2025年已发货'!$F:$F,C4369,'[1]2025年已发货'!$C:$C,F4369,'[1]2025年已发货'!$G:$G,I4369,'[1]2025年已发货'!$H:$H,J4369)=0,"未发货",SUMIFS('[1]2025年已发货'!$E:$E,'[1]2025年已发货'!$F:$F,C4369,'[1]2025年已发货'!$C:$C,F4369,'[1]2025年已发货'!$G:$G,I4369,'[1]2025年已发货'!$H:$H,J4369))</f>
        <v>8</v>
      </c>
      <c r="I4369" s="120" t="str">
        <f>VLOOKUP(B4369,辅助信息!E:I,3,FALSE)</f>
        <v>(五冶钢构龙泉东洪片区85亩住宅、商业及配套工程项目三标段)成都市龙泉驿外东洪路地铁2号线惠王陵地铁C口</v>
      </c>
      <c r="J4369" s="120" t="str">
        <f>VLOOKUP(B4369,辅助信息!E:I,4,FALSE)</f>
        <v>王军宝</v>
      </c>
      <c r="K4369" s="120">
        <f>VLOOKUP(J4369,辅助信息!H:I,2,FALSE)</f>
        <v>13889142392</v>
      </c>
      <c r="L4369" s="122">
        <f>VLOOKUP(B4369,辅助信息!E:J,6,FALSE)</f>
        <v>0</v>
      </c>
      <c r="M4369" s="91">
        <v>45941</v>
      </c>
      <c r="O4369" s="62">
        <f ca="1" t="shared" si="218"/>
        <v>0</v>
      </c>
      <c r="P4369" s="62">
        <f ca="1" t="shared" si="219"/>
        <v>19</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6" t="s">
        <v>229</v>
      </c>
      <c r="C4370" s="70">
        <v>45941</v>
      </c>
      <c r="D4370" s="120" t="str">
        <f>VLOOKUP(B4370,辅助信息!E:K,7,FALSE)</f>
        <v>JWDDCD2025092400212</v>
      </c>
      <c r="E4370" s="120" t="str">
        <f>VLOOKUP(F4370,辅助信息!A:B,2,FALSE)</f>
        <v>螺纹钢</v>
      </c>
      <c r="F4370" s="120" t="s">
        <v>18</v>
      </c>
      <c r="G4370" s="121">
        <v>2</v>
      </c>
      <c r="H4370" s="134">
        <f>IF(SUMIFS('[1]2025年已发货'!$E:$E,'[1]2025年已发货'!$F:$F,C4370,'[1]2025年已发货'!$C:$C,F4370,'[1]2025年已发货'!$G:$G,I4370,'[1]2025年已发货'!$H:$H,J4370)=0,"未发货",SUMIFS('[1]2025年已发货'!$E:$E,'[1]2025年已发货'!$F:$F,C4370,'[1]2025年已发货'!$C:$C,F4370,'[1]2025年已发货'!$G:$G,I4370,'[1]2025年已发货'!$H:$H,J4370))</f>
        <v>2</v>
      </c>
      <c r="I4370" s="120" t="str">
        <f>VLOOKUP(B4370,辅助信息!E:I,3,FALSE)</f>
        <v>(五冶钢构龙泉东洪片区85亩住宅、商业及配套工程项目三标段)成都市龙泉驿外东洪路地铁2号线惠王陵地铁C口</v>
      </c>
      <c r="J4370" s="120" t="str">
        <f>VLOOKUP(B4370,辅助信息!E:I,4,FALSE)</f>
        <v>王军宝</v>
      </c>
      <c r="K4370" s="120">
        <f>VLOOKUP(J4370,辅助信息!H:I,2,FALSE)</f>
        <v>13889142392</v>
      </c>
      <c r="L4370" s="122">
        <f>VLOOKUP(B4370,辅助信息!E:J,6,FALSE)</f>
        <v>0</v>
      </c>
      <c r="M4370" s="91">
        <v>45941</v>
      </c>
      <c r="O4370" s="62">
        <f ca="1" t="shared" si="218"/>
        <v>0</v>
      </c>
      <c r="P4370" s="62">
        <f ca="1" t="shared" si="219"/>
        <v>19</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6" t="s">
        <v>228</v>
      </c>
      <c r="C4371" s="70">
        <v>45941</v>
      </c>
      <c r="D4371" s="120" t="str">
        <f>VLOOKUP(B4371,辅助信息!E:K,7,FALSE)</f>
        <v>JWDDCD2025092400190</v>
      </c>
      <c r="E4371" s="120" t="str">
        <f>VLOOKUP(F4371,辅助信息!A:B,2,FALSE)</f>
        <v>盘螺</v>
      </c>
      <c r="F4371" s="120" t="s">
        <v>40</v>
      </c>
      <c r="G4371" s="121">
        <v>18</v>
      </c>
      <c r="H4371" s="134"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0" t="str">
        <f>VLOOKUP(B4371,辅助信息!E:I,3,FALSE)</f>
        <v>(五冶钢构龙泉东洪片区70亩住宅、商业及配套工程项目二标段)成都市龙泉驿外东洪路地铁2号线惠王陵地铁C口</v>
      </c>
      <c r="J4371" s="120" t="str">
        <f>VLOOKUP(B4371,辅助信息!E:I,4,FALSE)</f>
        <v>蒋嗣伟</v>
      </c>
      <c r="K4371" s="120">
        <f>VLOOKUP(J4371,辅助信息!H:I,2,FALSE)</f>
        <v>15014331252</v>
      </c>
      <c r="L4371" s="122">
        <f>VLOOKUP(B4371,辅助信息!E:J,6,FALSE)</f>
        <v>0</v>
      </c>
      <c r="M4371" s="91">
        <v>45941</v>
      </c>
      <c r="O4371" s="62">
        <f ca="1" t="shared" si="218"/>
        <v>0</v>
      </c>
      <c r="P4371" s="62">
        <f ca="1" t="shared" si="219"/>
        <v>19</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6" t="s">
        <v>228</v>
      </c>
      <c r="C4372" s="70">
        <v>45941</v>
      </c>
      <c r="D4372" s="120" t="str">
        <f>VLOOKUP(B4372,辅助信息!E:K,7,FALSE)</f>
        <v>JWDDCD2025092400190</v>
      </c>
      <c r="E4372" s="120" t="str">
        <f>VLOOKUP(F4372,辅助信息!A:B,2,FALSE)</f>
        <v>盘螺</v>
      </c>
      <c r="F4372" s="120" t="s">
        <v>41</v>
      </c>
      <c r="G4372" s="121">
        <v>35</v>
      </c>
      <c r="H4372" s="134">
        <f>IF(SUMIFS('[1]2025年已发货'!$E:$E,'[1]2025年已发货'!$F:$F,C4372,'[1]2025年已发货'!$C:$C,F4372,'[1]2025年已发货'!$G:$G,I4372,'[1]2025年已发货'!$H:$H,J4372)=0,"未发货",SUMIFS('[1]2025年已发货'!$E:$E,'[1]2025年已发货'!$F:$F,C4372,'[1]2025年已发货'!$C:$C,F4372,'[1]2025年已发货'!$G:$G,I4372,'[1]2025年已发货'!$H:$H,J4372))</f>
        <v>35</v>
      </c>
      <c r="I4372" s="120" t="str">
        <f>VLOOKUP(B4372,辅助信息!E:I,3,FALSE)</f>
        <v>(五冶钢构龙泉东洪片区70亩住宅、商业及配套工程项目二标段)成都市龙泉驿外东洪路地铁2号线惠王陵地铁C口</v>
      </c>
      <c r="J4372" s="120" t="str">
        <f>VLOOKUP(B4372,辅助信息!E:I,4,FALSE)</f>
        <v>蒋嗣伟</v>
      </c>
      <c r="K4372" s="120">
        <f>VLOOKUP(J4372,辅助信息!H:I,2,FALSE)</f>
        <v>15014331252</v>
      </c>
      <c r="L4372" s="122">
        <f>VLOOKUP(B4372,辅助信息!E:J,6,FALSE)</f>
        <v>0</v>
      </c>
      <c r="M4372" s="91">
        <v>45941</v>
      </c>
      <c r="O4372" s="62">
        <f ca="1" t="shared" si="218"/>
        <v>0</v>
      </c>
      <c r="P4372" s="62">
        <f ca="1" t="shared" si="219"/>
        <v>19</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6" t="s">
        <v>228</v>
      </c>
      <c r="C4373" s="70">
        <v>45941</v>
      </c>
      <c r="D4373" s="120" t="str">
        <f>VLOOKUP(B4373,辅助信息!E:K,7,FALSE)</f>
        <v>JWDDCD2025092400190</v>
      </c>
      <c r="E4373" s="120" t="str">
        <f>VLOOKUP(F4373,辅助信息!A:B,2,FALSE)</f>
        <v>盘螺</v>
      </c>
      <c r="F4373" s="120" t="s">
        <v>26</v>
      </c>
      <c r="G4373" s="121">
        <v>17</v>
      </c>
      <c r="H4373" s="134"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0" t="str">
        <f>VLOOKUP(B4373,辅助信息!E:I,3,FALSE)</f>
        <v>(五冶钢构龙泉东洪片区70亩住宅、商业及配套工程项目二标段)成都市龙泉驿外东洪路地铁2号线惠王陵地铁C口</v>
      </c>
      <c r="J4373" s="120" t="str">
        <f>VLOOKUP(B4373,辅助信息!E:I,4,FALSE)</f>
        <v>蒋嗣伟</v>
      </c>
      <c r="K4373" s="120">
        <f>VLOOKUP(J4373,辅助信息!H:I,2,FALSE)</f>
        <v>15014331252</v>
      </c>
      <c r="L4373" s="122">
        <f>VLOOKUP(B4373,辅助信息!E:J,6,FALSE)</f>
        <v>0</v>
      </c>
      <c r="M4373" s="91">
        <v>45941</v>
      </c>
      <c r="O4373" s="62">
        <f ca="1" t="shared" si="218"/>
        <v>0</v>
      </c>
      <c r="P4373" s="62">
        <f ca="1" t="shared" si="219"/>
        <v>19</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6" t="s">
        <v>112</v>
      </c>
      <c r="C4374" s="70">
        <v>45941</v>
      </c>
      <c r="D4374" s="120" t="str">
        <f>VLOOKUP(B4374,辅助信息!E:K,7,FALSE)</f>
        <v>JWDDCD2025052800131</v>
      </c>
      <c r="E4374" s="120" t="str">
        <f>VLOOKUP(F4374,辅助信息!A:B,2,FALSE)</f>
        <v>盘螺</v>
      </c>
      <c r="F4374" s="120" t="s">
        <v>49</v>
      </c>
      <c r="G4374" s="121">
        <v>12</v>
      </c>
      <c r="H4374" s="134"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0" t="str">
        <f>VLOOKUP(B4374,辅助信息!E:I,3,FALSE)</f>
        <v>（商投建工达州中医药科技园-4工区-10号楼）达州市通川区达州中医药职业学院犀牛大道北段</v>
      </c>
      <c r="J4374" s="120" t="str">
        <f>VLOOKUP(B4374,辅助信息!E:I,4,FALSE)</f>
        <v>张扬</v>
      </c>
      <c r="K4374" s="120">
        <f>VLOOKUP(J4374,辅助信息!H:I,2,FALSE)</f>
        <v>18381904567</v>
      </c>
      <c r="L4374" s="122" t="str">
        <f>VLOOKUP(B4374,辅助信息!E:J,6,FALSE)</f>
        <v>控制炉批号！多了现场不收！,优先安排达钢,提前联系到场规格及数量</v>
      </c>
      <c r="O4374" s="62" t="str">
        <f ca="1" t="shared" si="218"/>
        <v/>
      </c>
      <c r="P4374" s="62"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6" t="s">
        <v>112</v>
      </c>
      <c r="C4375" s="70">
        <v>45941</v>
      </c>
      <c r="D4375" s="120" t="str">
        <f>VLOOKUP(B4375,辅助信息!E:K,7,FALSE)</f>
        <v>JWDDCD2025052800131</v>
      </c>
      <c r="E4375" s="120" t="str">
        <f>VLOOKUP(F4375,辅助信息!A:B,2,FALSE)</f>
        <v>盘螺</v>
      </c>
      <c r="F4375" s="120" t="s">
        <v>40</v>
      </c>
      <c r="G4375" s="121">
        <v>24</v>
      </c>
      <c r="H4375" s="134">
        <f>IF(SUMIFS('[1]2025年已发货'!$E:$E,'[1]2025年已发货'!$F:$F,C4375,'[1]2025年已发货'!$C:$C,F4375,'[1]2025年已发货'!$G:$G,I4375,'[1]2025年已发货'!$H:$H,J4375)=0,"未发货",SUMIFS('[1]2025年已发货'!$E:$E,'[1]2025年已发货'!$F:$F,C4375,'[1]2025年已发货'!$C:$C,F4375,'[1]2025年已发货'!$G:$G,I4375,'[1]2025年已发货'!$H:$H,J4375))</f>
        <v>24</v>
      </c>
      <c r="I4375" s="120" t="str">
        <f>VLOOKUP(B4375,辅助信息!E:I,3,FALSE)</f>
        <v>（商投建工达州中医药科技园-4工区-10号楼）达州市通川区达州中医药职业学院犀牛大道北段</v>
      </c>
      <c r="J4375" s="120" t="str">
        <f>VLOOKUP(B4375,辅助信息!E:I,4,FALSE)</f>
        <v>张扬</v>
      </c>
      <c r="K4375" s="120">
        <f>VLOOKUP(J4375,辅助信息!H:I,2,FALSE)</f>
        <v>18381904567</v>
      </c>
      <c r="L4375" s="122" t="str">
        <f>VLOOKUP(B4375,辅助信息!E:J,6,FALSE)</f>
        <v>控制炉批号！多了现场不收！,优先安排达钢,提前联系到场规格及数量</v>
      </c>
      <c r="O4375" s="62" t="str">
        <f ca="1" t="shared" si="218"/>
        <v/>
      </c>
      <c r="P4375" s="62"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6" t="s">
        <v>112</v>
      </c>
      <c r="C4376" s="70">
        <v>45941</v>
      </c>
      <c r="D4376" s="120" t="str">
        <f>VLOOKUP(B4376,辅助信息!E:K,7,FALSE)</f>
        <v>JWDDCD2025052800131</v>
      </c>
      <c r="E4376" s="120" t="str">
        <f>VLOOKUP(F4376,辅助信息!A:B,2,FALSE)</f>
        <v>螺纹钢</v>
      </c>
      <c r="F4376" s="120" t="s">
        <v>32</v>
      </c>
      <c r="G4376" s="121">
        <v>3</v>
      </c>
      <c r="H4376" s="134"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0" t="str">
        <f>VLOOKUP(B4376,辅助信息!E:I,3,FALSE)</f>
        <v>（商投建工达州中医药科技园-4工区-10号楼）达州市通川区达州中医药职业学院犀牛大道北段</v>
      </c>
      <c r="J4376" s="120" t="str">
        <f>VLOOKUP(B4376,辅助信息!E:I,4,FALSE)</f>
        <v>张扬</v>
      </c>
      <c r="K4376" s="120">
        <f>VLOOKUP(J4376,辅助信息!H:I,2,FALSE)</f>
        <v>18381904567</v>
      </c>
      <c r="L4376" s="122" t="str">
        <f>VLOOKUP(B4376,辅助信息!E:J,6,FALSE)</f>
        <v>控制炉批号！多了现场不收！,优先安排达钢,提前联系到场规格及数量</v>
      </c>
      <c r="O4376" s="62" t="str">
        <f ca="1" t="shared" si="218"/>
        <v/>
      </c>
      <c r="P4376" s="62"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6" t="s">
        <v>112</v>
      </c>
      <c r="C4377" s="70">
        <v>45941</v>
      </c>
      <c r="D4377" s="120" t="str">
        <f>VLOOKUP(B4377,辅助信息!E:K,7,FALSE)</f>
        <v>JWDDCD2025052800131</v>
      </c>
      <c r="E4377" s="120" t="str">
        <f>VLOOKUP(F4377,辅助信息!A:B,2,FALSE)</f>
        <v>螺纹钢</v>
      </c>
      <c r="F4377" s="120" t="s">
        <v>18</v>
      </c>
      <c r="G4377" s="121">
        <v>12</v>
      </c>
      <c r="H4377" s="134">
        <f>IF(SUMIFS('[1]2025年已发货'!$E:$E,'[1]2025年已发货'!$F:$F,C4377,'[1]2025年已发货'!$C:$C,F4377,'[1]2025年已发货'!$G:$G,I4377,'[1]2025年已发货'!$H:$H,J4377)=0,"未发货",SUMIFS('[1]2025年已发货'!$E:$E,'[1]2025年已发货'!$F:$F,C4377,'[1]2025年已发货'!$C:$C,F4377,'[1]2025年已发货'!$G:$G,I4377,'[1]2025年已发货'!$H:$H,J4377))</f>
        <v>12</v>
      </c>
      <c r="I4377" s="120" t="str">
        <f>VLOOKUP(B4377,辅助信息!E:I,3,FALSE)</f>
        <v>（商投建工达州中医药科技园-4工区-10号楼）达州市通川区达州中医药职业学院犀牛大道北段</v>
      </c>
      <c r="J4377" s="120" t="str">
        <f>VLOOKUP(B4377,辅助信息!E:I,4,FALSE)</f>
        <v>张扬</v>
      </c>
      <c r="K4377" s="120">
        <f>VLOOKUP(J4377,辅助信息!H:I,2,FALSE)</f>
        <v>18381904567</v>
      </c>
      <c r="L4377" s="122" t="str">
        <f>VLOOKUP(B4377,辅助信息!E:J,6,FALSE)</f>
        <v>控制炉批号！多了现场不收！,优先安排达钢,提前联系到场规格及数量</v>
      </c>
      <c r="O4377" s="62" t="str">
        <f ca="1" t="shared" si="218"/>
        <v/>
      </c>
      <c r="P4377" s="62"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6" t="s">
        <v>112</v>
      </c>
      <c r="C4378" s="70">
        <v>45941</v>
      </c>
      <c r="D4378" s="120" t="str">
        <f>VLOOKUP(B4378,辅助信息!E:K,7,FALSE)</f>
        <v>JWDDCD2025052800131</v>
      </c>
      <c r="E4378" s="120" t="str">
        <f>VLOOKUP(F4378,辅助信息!A:B,2,FALSE)</f>
        <v>螺纹钢</v>
      </c>
      <c r="F4378" s="120" t="s">
        <v>21</v>
      </c>
      <c r="G4378" s="121">
        <v>12</v>
      </c>
      <c r="H4378" s="134"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0" t="str">
        <f>VLOOKUP(B4378,辅助信息!E:I,3,FALSE)</f>
        <v>（商投建工达州中医药科技园-4工区-10号楼）达州市通川区达州中医药职业学院犀牛大道北段</v>
      </c>
      <c r="J4378" s="120" t="str">
        <f>VLOOKUP(B4378,辅助信息!E:I,4,FALSE)</f>
        <v>张扬</v>
      </c>
      <c r="K4378" s="120">
        <f>VLOOKUP(J4378,辅助信息!H:I,2,FALSE)</f>
        <v>18381904567</v>
      </c>
      <c r="L4378" s="122" t="str">
        <f>VLOOKUP(B4378,辅助信息!E:J,6,FALSE)</f>
        <v>控制炉批号！多了现场不收！,优先安排达钢,提前联系到场规格及数量</v>
      </c>
      <c r="O4378" s="62" t="str">
        <f ca="1" t="shared" si="218"/>
        <v/>
      </c>
      <c r="P4378" s="62"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6" t="s">
        <v>112</v>
      </c>
      <c r="C4379" s="70">
        <v>45941</v>
      </c>
      <c r="D4379" s="120" t="str">
        <f>VLOOKUP(B4379,辅助信息!E:K,7,FALSE)</f>
        <v>JWDDCD2025052800131</v>
      </c>
      <c r="E4379" s="120" t="str">
        <f>VLOOKUP(F4379,辅助信息!A:B,2,FALSE)</f>
        <v>螺纹钢</v>
      </c>
      <c r="F4379" s="120" t="s">
        <v>58</v>
      </c>
      <c r="G4379" s="121">
        <v>12</v>
      </c>
      <c r="H4379" s="134"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0" t="str">
        <f>VLOOKUP(B4379,辅助信息!E:I,3,FALSE)</f>
        <v>（商投建工达州中医药科技园-4工区-10号楼）达州市通川区达州中医药职业学院犀牛大道北段</v>
      </c>
      <c r="J4379" s="120" t="str">
        <f>VLOOKUP(B4379,辅助信息!E:I,4,FALSE)</f>
        <v>张扬</v>
      </c>
      <c r="K4379" s="120">
        <f>VLOOKUP(J4379,辅助信息!H:I,2,FALSE)</f>
        <v>18381904567</v>
      </c>
      <c r="L4379" s="122" t="str">
        <f>VLOOKUP(B4379,辅助信息!E:J,6,FALSE)</f>
        <v>控制炉批号！多了现场不收！,优先安排达钢,提前联系到场规格及数量</v>
      </c>
      <c r="O4379" s="62" t="str">
        <f ca="1" t="shared" si="218"/>
        <v/>
      </c>
      <c r="P4379" s="62"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6" t="s">
        <v>112</v>
      </c>
      <c r="C4380" s="70">
        <v>45941</v>
      </c>
      <c r="D4380" s="120" t="str">
        <f>VLOOKUP(B4380,辅助信息!E:K,7,FALSE)</f>
        <v>JWDDCD2025052800131</v>
      </c>
      <c r="E4380" s="120" t="str">
        <f>VLOOKUP(F4380,辅助信息!A:B,2,FALSE)</f>
        <v>螺纹钢</v>
      </c>
      <c r="F4380" s="120" t="s">
        <v>22</v>
      </c>
      <c r="G4380" s="121">
        <v>21</v>
      </c>
      <c r="H4380" s="134">
        <f>IF(SUMIFS('[1]2025年已发货'!$E:$E,'[1]2025年已发货'!$F:$F,C4380,'[1]2025年已发货'!$C:$C,F4380,'[1]2025年已发货'!$G:$G,I4380,'[1]2025年已发货'!$H:$H,J4380)=0,"未发货",SUMIFS('[1]2025年已发货'!$E:$E,'[1]2025年已发货'!$F:$F,C4380,'[1]2025年已发货'!$C:$C,F4380,'[1]2025年已发货'!$G:$G,I4380,'[1]2025年已发货'!$H:$H,J4380))</f>
        <v>21</v>
      </c>
      <c r="I4380" s="120" t="str">
        <f>VLOOKUP(B4380,辅助信息!E:I,3,FALSE)</f>
        <v>（商投建工达州中医药科技园-4工区-10号楼）达州市通川区达州中医药职业学院犀牛大道北段</v>
      </c>
      <c r="J4380" s="120" t="str">
        <f>VLOOKUP(B4380,辅助信息!E:I,4,FALSE)</f>
        <v>张扬</v>
      </c>
      <c r="K4380" s="120">
        <f>VLOOKUP(J4380,辅助信息!H:I,2,FALSE)</f>
        <v>18381904567</v>
      </c>
      <c r="L4380" s="122" t="str">
        <f>VLOOKUP(B4380,辅助信息!E:J,6,FALSE)</f>
        <v>控制炉批号！多了现场不收！,优先安排达钢,提前联系到场规格及数量</v>
      </c>
      <c r="O4380" s="62" t="str">
        <f ca="1" t="shared" si="218"/>
        <v/>
      </c>
      <c r="P4380" s="62"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6" t="s">
        <v>187</v>
      </c>
      <c r="C4381" s="70">
        <v>45941</v>
      </c>
      <c r="D4381" s="120" t="str">
        <f>VLOOKUP(B4381,辅助信息!E:K,7,FALSE)</f>
        <v>JWDDCD2025072900121</v>
      </c>
      <c r="E4381" s="120" t="str">
        <f>VLOOKUP(F4381,辅助信息!A:B,2,FALSE)</f>
        <v>盘螺</v>
      </c>
      <c r="F4381" s="120" t="s">
        <v>40</v>
      </c>
      <c r="G4381" s="121">
        <v>35</v>
      </c>
      <c r="H4381" s="134"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0" t="str">
        <f>VLOOKUP(B4381,辅助信息!E:I,3,FALSE)</f>
        <v>(乐山市校地共建产教融合基地建设项目一标段)四川省乐山市市中区苏稽镇周山嘴</v>
      </c>
      <c r="J4381" s="120" t="str">
        <f>VLOOKUP(B4381,辅助信息!E:I,4,FALSE)</f>
        <v>范增云</v>
      </c>
      <c r="K4381" s="120">
        <f>VLOOKUP(J4381,辅助信息!H:I,2,FALSE)</f>
        <v>13668153241</v>
      </c>
      <c r="L4381" s="122" t="str">
        <f>VLOOKUP(B4381,辅助信息!E:J,6,FALSE)</f>
        <v>联系实际收货人（范增云13668153241）现场要求炉批号控制2个以下，超2个不给予签收。提前联系到场规格及数量</v>
      </c>
      <c r="O4381" s="62" t="str">
        <f ca="1" t="shared" si="218"/>
        <v/>
      </c>
      <c r="P4381" s="62"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6" t="s">
        <v>187</v>
      </c>
      <c r="C4382" s="70">
        <v>45941</v>
      </c>
      <c r="D4382" s="120" t="str">
        <f>VLOOKUP(B4382,辅助信息!E:K,7,FALSE)</f>
        <v>JWDDCD2025072900121</v>
      </c>
      <c r="E4382" s="120" t="str">
        <f>VLOOKUP(F4382,辅助信息!A:B,2,FALSE)</f>
        <v>螺纹钢</v>
      </c>
      <c r="F4382" s="120" t="s">
        <v>142</v>
      </c>
      <c r="G4382" s="121">
        <v>35</v>
      </c>
      <c r="H4382" s="134"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0" t="str">
        <f>VLOOKUP(B4382,辅助信息!E:I,3,FALSE)</f>
        <v>(乐山市校地共建产教融合基地建设项目一标段)四川省乐山市市中区苏稽镇周山嘴</v>
      </c>
      <c r="J4382" s="120" t="str">
        <f>VLOOKUP(B4382,辅助信息!E:I,4,FALSE)</f>
        <v>范增云</v>
      </c>
      <c r="K4382" s="120">
        <f>VLOOKUP(J4382,辅助信息!H:I,2,FALSE)</f>
        <v>13668153241</v>
      </c>
      <c r="L4382" s="122" t="str">
        <f>VLOOKUP(B4382,辅助信息!E:J,6,FALSE)</f>
        <v>联系实际收货人（范增云13668153241）现场要求炉批号控制2个以下，超2个不给予签收。提前联系到场规格及数量</v>
      </c>
      <c r="O4382" s="62" t="str">
        <f ca="1" t="shared" si="218"/>
        <v/>
      </c>
      <c r="P4382" s="62"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6" t="s">
        <v>203</v>
      </c>
      <c r="C4383" s="70">
        <v>45941</v>
      </c>
      <c r="D4383" s="120" t="str">
        <f>VLOOKUP(B4383,辅助信息!E:K,7,FALSE)</f>
        <v>JWDDCD2025102100479</v>
      </c>
      <c r="E4383" s="120" t="str">
        <f>VLOOKUP(F4383,辅助信息!A:B,2,FALSE)</f>
        <v>盘螺</v>
      </c>
      <c r="F4383" s="120" t="s">
        <v>40</v>
      </c>
      <c r="G4383" s="121">
        <v>14</v>
      </c>
      <c r="H4383" s="134">
        <f>IF(SUMIFS('[1]2025年已发货'!$E:$E,'[1]2025年已发货'!$F:$F,C4383,'[1]2025年已发货'!$C:$C,F4383,'[1]2025年已发货'!$G:$G,I4383,'[1]2025年已发货'!$H:$H,J4383)=0,"未发货",SUMIFS('[1]2025年已发货'!$E:$E,'[1]2025年已发货'!$F:$F,C4383,'[1]2025年已发货'!$C:$C,F4383,'[1]2025年已发货'!$G:$G,I4383,'[1]2025年已发货'!$H:$H,J4383))</f>
        <v>14</v>
      </c>
      <c r="I4383" s="120" t="str">
        <f>VLOOKUP(B4383,辅助信息!E:I,3,FALSE)</f>
        <v>(五冶建设空港兴城怡心街道83亩项目)成都市双流区怡心街道高峰社区一组剑和路一段空港兴城怡心街道83亩项目中国五冶项目部</v>
      </c>
      <c r="J4383" s="120" t="str">
        <f>VLOOKUP(B4383,辅助信息!E:I,4,FALSE)</f>
        <v>王刚</v>
      </c>
      <c r="K4383" s="120">
        <f>VLOOKUP(J4383,辅助信息!H:I,2,FALSE)</f>
        <v>15881190525</v>
      </c>
      <c r="L4383" s="122"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2" t="str">
        <f ca="1" t="shared" si="218"/>
        <v/>
      </c>
      <c r="P4383" s="62"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6" t="s">
        <v>203</v>
      </c>
      <c r="C4384" s="70">
        <v>45941</v>
      </c>
      <c r="D4384" s="120" t="str">
        <f>VLOOKUP(B4384,辅助信息!E:K,7,FALSE)</f>
        <v>JWDDCD2025102100479</v>
      </c>
      <c r="E4384" s="120" t="str">
        <f>VLOOKUP(F4384,辅助信息!A:B,2,FALSE)</f>
        <v>盘螺</v>
      </c>
      <c r="F4384" s="120" t="s">
        <v>41</v>
      </c>
      <c r="G4384" s="121">
        <v>18</v>
      </c>
      <c r="H4384" s="134">
        <f>IF(SUMIFS('[1]2025年已发货'!$E:$E,'[1]2025年已发货'!$F:$F,C4384,'[1]2025年已发货'!$C:$C,F4384,'[1]2025年已发货'!$G:$G,I4384,'[1]2025年已发货'!$H:$H,J4384)=0,"未发货",SUMIFS('[1]2025年已发货'!$E:$E,'[1]2025年已发货'!$F:$F,C4384,'[1]2025年已发货'!$C:$C,F4384,'[1]2025年已发货'!$G:$G,I4384,'[1]2025年已发货'!$H:$H,J4384))</f>
        <v>18</v>
      </c>
      <c r="I4384" s="120" t="str">
        <f>VLOOKUP(B4384,辅助信息!E:I,3,FALSE)</f>
        <v>(五冶建设空港兴城怡心街道83亩项目)成都市双流区怡心街道高峰社区一组剑和路一段空港兴城怡心街道83亩项目中国五冶项目部</v>
      </c>
      <c r="J4384" s="120" t="str">
        <f>VLOOKUP(B4384,辅助信息!E:I,4,FALSE)</f>
        <v>王刚</v>
      </c>
      <c r="K4384" s="120">
        <f>VLOOKUP(J4384,辅助信息!H:I,2,FALSE)</f>
        <v>15881190525</v>
      </c>
      <c r="L4384" s="122"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2" t="str">
        <f ca="1" t="shared" ref="O4384:O4447" si="220">IF(OR(M4384="",N4384&lt;&gt;""),"",MAX(M4384-TODAY(),0))</f>
        <v/>
      </c>
      <c r="P4384" s="62"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6" t="s">
        <v>203</v>
      </c>
      <c r="C4385" s="70">
        <v>45941</v>
      </c>
      <c r="D4385" s="120" t="str">
        <f>VLOOKUP(B4385,辅助信息!E:K,7,FALSE)</f>
        <v>JWDDCD2025102100479</v>
      </c>
      <c r="E4385" s="120" t="str">
        <f>VLOOKUP(F4385,辅助信息!A:B,2,FALSE)</f>
        <v>螺纹钢</v>
      </c>
      <c r="F4385" s="120" t="s">
        <v>27</v>
      </c>
      <c r="G4385" s="121">
        <v>20</v>
      </c>
      <c r="H4385" s="134">
        <f>IF(SUMIFS('[1]2025年已发货'!$E:$E,'[1]2025年已发货'!$F:$F,C4385,'[1]2025年已发货'!$C:$C,F4385,'[1]2025年已发货'!$G:$G,I4385,'[1]2025年已发货'!$H:$H,J4385)=0,"未发货",SUMIFS('[1]2025年已发货'!$E:$E,'[1]2025年已发货'!$F:$F,C4385,'[1]2025年已发货'!$C:$C,F4385,'[1]2025年已发货'!$G:$G,I4385,'[1]2025年已发货'!$H:$H,J4385))</f>
        <v>15</v>
      </c>
      <c r="I4385" s="120" t="str">
        <f>VLOOKUP(B4385,辅助信息!E:I,3,FALSE)</f>
        <v>(五冶建设空港兴城怡心街道83亩项目)成都市双流区怡心街道高峰社区一组剑和路一段空港兴城怡心街道83亩项目中国五冶项目部</v>
      </c>
      <c r="J4385" s="120" t="str">
        <f>VLOOKUP(B4385,辅助信息!E:I,4,FALSE)</f>
        <v>王刚</v>
      </c>
      <c r="K4385" s="120">
        <f>VLOOKUP(J4385,辅助信息!H:I,2,FALSE)</f>
        <v>15881190525</v>
      </c>
      <c r="L4385" s="122"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2" t="str">
        <f ca="1" t="shared" si="220"/>
        <v/>
      </c>
      <c r="P4385" s="62"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6" t="s">
        <v>203</v>
      </c>
      <c r="C4386" s="70">
        <v>45941</v>
      </c>
      <c r="D4386" s="120" t="str">
        <f>VLOOKUP(B4386,辅助信息!E:K,7,FALSE)</f>
        <v>JWDDCD2025102100479</v>
      </c>
      <c r="E4386" s="120" t="str">
        <f>VLOOKUP(F4386,辅助信息!A:B,2,FALSE)</f>
        <v>螺纹钢</v>
      </c>
      <c r="F4386" s="120" t="s">
        <v>19</v>
      </c>
      <c r="G4386" s="121">
        <v>30</v>
      </c>
      <c r="H4386" s="134">
        <f>IF(SUMIFS('[1]2025年已发货'!$E:$E,'[1]2025年已发货'!$F:$F,C4386,'[1]2025年已发货'!$C:$C,F4386,'[1]2025年已发货'!$G:$G,I4386,'[1]2025年已发货'!$H:$H,J4386)=0,"未发货",SUMIFS('[1]2025年已发货'!$E:$E,'[1]2025年已发货'!$F:$F,C4386,'[1]2025年已发货'!$C:$C,F4386,'[1]2025年已发货'!$G:$G,I4386,'[1]2025年已发货'!$H:$H,J4386))</f>
        <v>30</v>
      </c>
      <c r="I4386" s="120" t="str">
        <f>VLOOKUP(B4386,辅助信息!E:I,3,FALSE)</f>
        <v>(五冶建设空港兴城怡心街道83亩项目)成都市双流区怡心街道高峰社区一组剑和路一段空港兴城怡心街道83亩项目中国五冶项目部</v>
      </c>
      <c r="J4386" s="120" t="str">
        <f>VLOOKUP(B4386,辅助信息!E:I,4,FALSE)</f>
        <v>王刚</v>
      </c>
      <c r="K4386" s="120">
        <f>VLOOKUP(J4386,辅助信息!H:I,2,FALSE)</f>
        <v>15881190525</v>
      </c>
      <c r="L4386" s="122"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2" t="str">
        <f ca="1" t="shared" si="220"/>
        <v/>
      </c>
      <c r="P4386" s="62"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6" t="s">
        <v>203</v>
      </c>
      <c r="C4387" s="70">
        <v>45941</v>
      </c>
      <c r="D4387" s="120" t="str">
        <f>VLOOKUP(B4387,辅助信息!E:K,7,FALSE)</f>
        <v>JWDDCD2025102100479</v>
      </c>
      <c r="E4387" s="120" t="str">
        <f>VLOOKUP(F4387,辅助信息!A:B,2,FALSE)</f>
        <v>螺纹钢</v>
      </c>
      <c r="F4387" s="120" t="s">
        <v>32</v>
      </c>
      <c r="G4387" s="121">
        <v>15</v>
      </c>
      <c r="H4387" s="134">
        <f>IF(SUMIFS('[1]2025年已发货'!$E:$E,'[1]2025年已发货'!$F:$F,C4387,'[1]2025年已发货'!$C:$C,F4387,'[1]2025年已发货'!$G:$G,I4387,'[1]2025年已发货'!$H:$H,J4387)=0,"未发货",SUMIFS('[1]2025年已发货'!$E:$E,'[1]2025年已发货'!$F:$F,C4387,'[1]2025年已发货'!$C:$C,F4387,'[1]2025年已发货'!$G:$G,I4387,'[1]2025年已发货'!$H:$H,J4387))</f>
        <v>15</v>
      </c>
      <c r="I4387" s="120" t="str">
        <f>VLOOKUP(B4387,辅助信息!E:I,3,FALSE)</f>
        <v>(五冶建设空港兴城怡心街道83亩项目)成都市双流区怡心街道高峰社区一组剑和路一段空港兴城怡心街道83亩项目中国五冶项目部</v>
      </c>
      <c r="J4387" s="120" t="str">
        <f>VLOOKUP(B4387,辅助信息!E:I,4,FALSE)</f>
        <v>王刚</v>
      </c>
      <c r="K4387" s="120">
        <f>VLOOKUP(J4387,辅助信息!H:I,2,FALSE)</f>
        <v>15881190525</v>
      </c>
      <c r="L4387" s="122"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2" t="str">
        <f ca="1" t="shared" si="220"/>
        <v/>
      </c>
      <c r="P4387" s="62"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6" t="s">
        <v>203</v>
      </c>
      <c r="C4388" s="70">
        <v>45941</v>
      </c>
      <c r="D4388" s="120" t="str">
        <f>VLOOKUP(B4388,辅助信息!E:K,7,FALSE)</f>
        <v>JWDDCD2025102100479</v>
      </c>
      <c r="E4388" s="120" t="str">
        <f>VLOOKUP(F4388,辅助信息!A:B,2,FALSE)</f>
        <v>螺纹钢</v>
      </c>
      <c r="F4388" s="120" t="s">
        <v>30</v>
      </c>
      <c r="G4388" s="121">
        <v>3</v>
      </c>
      <c r="H4388" s="134">
        <f>IF(SUMIFS('[1]2025年已发货'!$E:$E,'[1]2025年已发货'!$F:$F,C4388,'[1]2025年已发货'!$C:$C,F4388,'[1]2025年已发货'!$G:$G,I4388,'[1]2025年已发货'!$H:$H,J4388)=0,"未发货",SUMIFS('[1]2025年已发货'!$E:$E,'[1]2025年已发货'!$F:$F,C4388,'[1]2025年已发货'!$C:$C,F4388,'[1]2025年已发货'!$G:$G,I4388,'[1]2025年已发货'!$H:$H,J4388))</f>
        <v>3</v>
      </c>
      <c r="I4388" s="120" t="str">
        <f>VLOOKUP(B4388,辅助信息!E:I,3,FALSE)</f>
        <v>(五冶建设空港兴城怡心街道83亩项目)成都市双流区怡心街道高峰社区一组剑和路一段空港兴城怡心街道83亩项目中国五冶项目部</v>
      </c>
      <c r="J4388" s="120" t="str">
        <f>VLOOKUP(B4388,辅助信息!E:I,4,FALSE)</f>
        <v>王刚</v>
      </c>
      <c r="K4388" s="120">
        <f>VLOOKUP(J4388,辅助信息!H:I,2,FALSE)</f>
        <v>15881190525</v>
      </c>
      <c r="L4388" s="122"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2" t="str">
        <f ca="1" t="shared" si="220"/>
        <v/>
      </c>
      <c r="P4388" s="62"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6" t="s">
        <v>203</v>
      </c>
      <c r="C4389" s="70">
        <v>45941</v>
      </c>
      <c r="D4389" s="120" t="str">
        <f>VLOOKUP(B4389,辅助信息!E:K,7,FALSE)</f>
        <v>JWDDCD2025102100479</v>
      </c>
      <c r="E4389" s="120" t="str">
        <f>VLOOKUP(F4389,辅助信息!A:B,2,FALSE)</f>
        <v>螺纹钢</v>
      </c>
      <c r="F4389" s="120" t="s">
        <v>33</v>
      </c>
      <c r="G4389" s="121">
        <v>3</v>
      </c>
      <c r="H4389" s="134">
        <f>IF(SUMIFS('[1]2025年已发货'!$E:$E,'[1]2025年已发货'!$F:$F,C4389,'[1]2025年已发货'!$C:$C,F4389,'[1]2025年已发货'!$G:$G,I4389,'[1]2025年已发货'!$H:$H,J4389)=0,"未发货",SUMIFS('[1]2025年已发货'!$E:$E,'[1]2025年已发货'!$F:$F,C4389,'[1]2025年已发货'!$C:$C,F4389,'[1]2025年已发货'!$G:$G,I4389,'[1]2025年已发货'!$H:$H,J4389))</f>
        <v>3</v>
      </c>
      <c r="I4389" s="120" t="str">
        <f>VLOOKUP(B4389,辅助信息!E:I,3,FALSE)</f>
        <v>(五冶建设空港兴城怡心街道83亩项目)成都市双流区怡心街道高峰社区一组剑和路一段空港兴城怡心街道83亩项目中国五冶项目部</v>
      </c>
      <c r="J4389" s="120" t="str">
        <f>VLOOKUP(B4389,辅助信息!E:I,4,FALSE)</f>
        <v>王刚</v>
      </c>
      <c r="K4389" s="120">
        <f>VLOOKUP(J4389,辅助信息!H:I,2,FALSE)</f>
        <v>15881190525</v>
      </c>
      <c r="L4389" s="122"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2" t="str">
        <f ca="1" t="shared" si="220"/>
        <v/>
      </c>
      <c r="P4389" s="62"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6" t="s">
        <v>203</v>
      </c>
      <c r="C4390" s="70">
        <v>45941</v>
      </c>
      <c r="D4390" s="120" t="str">
        <f>VLOOKUP(B4390,辅助信息!E:K,7,FALSE)</f>
        <v>JWDDCD2025102100479</v>
      </c>
      <c r="E4390" s="120" t="str">
        <f>VLOOKUP(F4390,辅助信息!A:B,2,FALSE)</f>
        <v>螺纹钢</v>
      </c>
      <c r="F4390" s="120" t="s">
        <v>28</v>
      </c>
      <c r="G4390" s="121">
        <v>3</v>
      </c>
      <c r="H4390" s="134">
        <f>IF(SUMIFS('[1]2025年已发货'!$E:$E,'[1]2025年已发货'!$F:$F,C4390,'[1]2025年已发货'!$C:$C,F4390,'[1]2025年已发货'!$G:$G,I4390,'[1]2025年已发货'!$H:$H,J4390)=0,"未发货",SUMIFS('[1]2025年已发货'!$E:$E,'[1]2025年已发货'!$F:$F,C4390,'[1]2025年已发货'!$C:$C,F4390,'[1]2025年已发货'!$G:$G,I4390,'[1]2025年已发货'!$H:$H,J4390))</f>
        <v>3</v>
      </c>
      <c r="I4390" s="120" t="str">
        <f>VLOOKUP(B4390,辅助信息!E:I,3,FALSE)</f>
        <v>(五冶建设空港兴城怡心街道83亩项目)成都市双流区怡心街道高峰社区一组剑和路一段空港兴城怡心街道83亩项目中国五冶项目部</v>
      </c>
      <c r="J4390" s="120" t="str">
        <f>VLOOKUP(B4390,辅助信息!E:I,4,FALSE)</f>
        <v>王刚</v>
      </c>
      <c r="K4390" s="120">
        <f>VLOOKUP(J4390,辅助信息!H:I,2,FALSE)</f>
        <v>15881190525</v>
      </c>
      <c r="L4390" s="122"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2" t="str">
        <f ca="1" t="shared" si="220"/>
        <v/>
      </c>
      <c r="P4390" s="62"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6" t="s">
        <v>203</v>
      </c>
      <c r="C4391" s="70">
        <v>45941</v>
      </c>
      <c r="D4391" s="120" t="str">
        <f>VLOOKUP(B4391,辅助信息!E:K,7,FALSE)</f>
        <v>JWDDCD2025102100479</v>
      </c>
      <c r="E4391" s="120" t="str">
        <f>VLOOKUP(F4391,辅助信息!A:B,2,FALSE)</f>
        <v>螺纹钢</v>
      </c>
      <c r="F4391" s="120" t="s">
        <v>82</v>
      </c>
      <c r="G4391" s="121">
        <v>2.5</v>
      </c>
      <c r="H4391" s="134">
        <f>IF(SUMIFS('[1]2025年已发货'!$E:$E,'[1]2025年已发货'!$F:$F,C4391,'[1]2025年已发货'!$C:$C,F4391,'[1]2025年已发货'!$G:$G,I4391,'[1]2025年已发货'!$H:$H,J4391)=0,"未发货",SUMIFS('[1]2025年已发货'!$E:$E,'[1]2025年已发货'!$F:$F,C4391,'[1]2025年已发货'!$C:$C,F4391,'[1]2025年已发货'!$G:$G,I4391,'[1]2025年已发货'!$H:$H,J4391))</f>
        <v>2.5</v>
      </c>
      <c r="I4391" s="120" t="str">
        <f>VLOOKUP(B4391,辅助信息!E:I,3,FALSE)</f>
        <v>(五冶建设空港兴城怡心街道83亩项目)成都市双流区怡心街道高峰社区一组剑和路一段空港兴城怡心街道83亩项目中国五冶项目部</v>
      </c>
      <c r="J4391" s="120" t="str">
        <f>VLOOKUP(B4391,辅助信息!E:I,4,FALSE)</f>
        <v>王刚</v>
      </c>
      <c r="K4391" s="120">
        <f>VLOOKUP(J4391,辅助信息!H:I,2,FALSE)</f>
        <v>15881190525</v>
      </c>
      <c r="L4391" s="122"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2" t="str">
        <f ca="1" t="shared" si="220"/>
        <v/>
      </c>
      <c r="P4391" s="62"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6" t="s">
        <v>203</v>
      </c>
      <c r="C4392" s="70">
        <v>45941</v>
      </c>
      <c r="D4392" s="120" t="str">
        <f>VLOOKUP(B4392,辅助信息!E:K,7,FALSE)</f>
        <v>JWDDCD2025102100479</v>
      </c>
      <c r="E4392" s="120" t="str">
        <f>VLOOKUP(F4392,辅助信息!A:B,2,FALSE)</f>
        <v>螺纹钢</v>
      </c>
      <c r="F4392" s="120" t="s">
        <v>21</v>
      </c>
      <c r="G4392" s="121">
        <v>2.5</v>
      </c>
      <c r="H4392" s="134">
        <f>IF(SUMIFS('[1]2025年已发货'!$E:$E,'[1]2025年已发货'!$F:$F,C4392,'[1]2025年已发货'!$C:$C,F4392,'[1]2025年已发货'!$G:$G,I4392,'[1]2025年已发货'!$H:$H,J4392)=0,"未发货",SUMIFS('[1]2025年已发货'!$E:$E,'[1]2025年已发货'!$F:$F,C4392,'[1]2025年已发货'!$C:$C,F4392,'[1]2025年已发货'!$G:$G,I4392,'[1]2025年已发货'!$H:$H,J4392))</f>
        <v>2.5</v>
      </c>
      <c r="I4392" s="120" t="str">
        <f>VLOOKUP(B4392,辅助信息!E:I,3,FALSE)</f>
        <v>(五冶建设空港兴城怡心街道83亩项目)成都市双流区怡心街道高峰社区一组剑和路一段空港兴城怡心街道83亩项目中国五冶项目部</v>
      </c>
      <c r="J4392" s="120" t="str">
        <f>VLOOKUP(B4392,辅助信息!E:I,4,FALSE)</f>
        <v>王刚</v>
      </c>
      <c r="K4392" s="120">
        <f>VLOOKUP(J4392,辅助信息!H:I,2,FALSE)</f>
        <v>15881190525</v>
      </c>
      <c r="L4392" s="122"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2" t="str">
        <f ca="1" t="shared" si="220"/>
        <v/>
      </c>
      <c r="P4392" s="62"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6" t="s">
        <v>203</v>
      </c>
      <c r="C4393" s="70">
        <v>45941</v>
      </c>
      <c r="D4393" s="120" t="str">
        <f>VLOOKUP(B4393,辅助信息!E:K,7,FALSE)</f>
        <v>JWDDCD2025102100479</v>
      </c>
      <c r="E4393" s="120" t="str">
        <f>VLOOKUP(F4393,辅助信息!A:B,2,FALSE)</f>
        <v>螺纹钢</v>
      </c>
      <c r="F4393" s="120" t="s">
        <v>58</v>
      </c>
      <c r="G4393" s="121">
        <v>15</v>
      </c>
      <c r="H4393" s="134">
        <f>IF(SUMIFS('[1]2025年已发货'!$E:$E,'[1]2025年已发货'!$F:$F,C4393,'[1]2025年已发货'!$C:$C,F4393,'[1]2025年已发货'!$G:$G,I4393,'[1]2025年已发货'!$H:$H,J4393)=0,"未发货",SUMIFS('[1]2025年已发货'!$E:$E,'[1]2025年已发货'!$F:$F,C4393,'[1]2025年已发货'!$C:$C,F4393,'[1]2025年已发货'!$G:$G,I4393,'[1]2025年已发货'!$H:$H,J4393))</f>
        <v>15</v>
      </c>
      <c r="I4393" s="120" t="str">
        <f>VLOOKUP(B4393,辅助信息!E:I,3,FALSE)</f>
        <v>(五冶建设空港兴城怡心街道83亩项目)成都市双流区怡心街道高峰社区一组剑和路一段空港兴城怡心街道83亩项目中国五冶项目部</v>
      </c>
      <c r="J4393" s="120" t="str">
        <f>VLOOKUP(B4393,辅助信息!E:I,4,FALSE)</f>
        <v>王刚</v>
      </c>
      <c r="K4393" s="120">
        <f>VLOOKUP(J4393,辅助信息!H:I,2,FALSE)</f>
        <v>15881190525</v>
      </c>
      <c r="L4393" s="122"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2" t="str">
        <f ca="1" t="shared" si="220"/>
        <v/>
      </c>
      <c r="P4393" s="62"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6" t="s">
        <v>203</v>
      </c>
      <c r="C4394" s="70">
        <v>45941</v>
      </c>
      <c r="D4394" s="120" t="str">
        <f>VLOOKUP(B4394,辅助信息!E:K,7,FALSE)</f>
        <v>JWDDCD2025102100479</v>
      </c>
      <c r="E4394" s="120" t="str">
        <f>VLOOKUP(F4394,辅助信息!A:B,2,FALSE)</f>
        <v>螺纹钢</v>
      </c>
      <c r="F4394" s="120" t="s">
        <v>46</v>
      </c>
      <c r="G4394" s="121">
        <v>5</v>
      </c>
      <c r="H4394" s="134">
        <f>IF(SUMIFS('[1]2025年已发货'!$E:$E,'[1]2025年已发货'!$F:$F,C4394,'[1]2025年已发货'!$C:$C,F4394,'[1]2025年已发货'!$G:$G,I4394,'[1]2025年已发货'!$H:$H,J4394)=0,"未发货",SUMIFS('[1]2025年已发货'!$E:$E,'[1]2025年已发货'!$F:$F,C4394,'[1]2025年已发货'!$C:$C,F4394,'[1]2025年已发货'!$G:$G,I4394,'[1]2025年已发货'!$H:$H,J4394))</f>
        <v>5</v>
      </c>
      <c r="I4394" s="120" t="str">
        <f>VLOOKUP(B4394,辅助信息!E:I,3,FALSE)</f>
        <v>(五冶建设空港兴城怡心街道83亩项目)成都市双流区怡心街道高峰社区一组剑和路一段空港兴城怡心街道83亩项目中国五冶项目部</v>
      </c>
      <c r="J4394" s="120" t="str">
        <f>VLOOKUP(B4394,辅助信息!E:I,4,FALSE)</f>
        <v>王刚</v>
      </c>
      <c r="K4394" s="120">
        <f>VLOOKUP(J4394,辅助信息!H:I,2,FALSE)</f>
        <v>15881190525</v>
      </c>
      <c r="L4394" s="122"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2" t="str">
        <f ca="1" t="shared" si="220"/>
        <v/>
      </c>
      <c r="P4394" s="62"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6" t="s">
        <v>203</v>
      </c>
      <c r="C4395" s="70">
        <v>45941</v>
      </c>
      <c r="D4395" s="120" t="str">
        <f>VLOOKUP(B4395,辅助信息!E:K,7,FALSE)</f>
        <v>JWDDCD2025102100479</v>
      </c>
      <c r="E4395" s="120" t="str">
        <f>VLOOKUP(F4395,辅助信息!A:B,2,FALSE)</f>
        <v>螺纹钢</v>
      </c>
      <c r="F4395" s="120" t="s">
        <v>22</v>
      </c>
      <c r="G4395" s="121">
        <v>10</v>
      </c>
      <c r="H4395" s="134">
        <f>IF(SUMIFS('[1]2025年已发货'!$E:$E,'[1]2025年已发货'!$F:$F,C4395,'[1]2025年已发货'!$C:$C,F4395,'[1]2025年已发货'!$G:$G,I4395,'[1]2025年已发货'!$H:$H,J4395)=0,"未发货",SUMIFS('[1]2025年已发货'!$E:$E,'[1]2025年已发货'!$F:$F,C4395,'[1]2025年已发货'!$C:$C,F4395,'[1]2025年已发货'!$G:$G,I4395,'[1]2025年已发货'!$H:$H,J4395))</f>
        <v>10</v>
      </c>
      <c r="I4395" s="120" t="str">
        <f>VLOOKUP(B4395,辅助信息!E:I,3,FALSE)</f>
        <v>(五冶建设空港兴城怡心街道83亩项目)成都市双流区怡心街道高峰社区一组剑和路一段空港兴城怡心街道83亩项目中国五冶项目部</v>
      </c>
      <c r="J4395" s="120" t="str">
        <f>VLOOKUP(B4395,辅助信息!E:I,4,FALSE)</f>
        <v>王刚</v>
      </c>
      <c r="K4395" s="120">
        <f>VLOOKUP(J4395,辅助信息!H:I,2,FALSE)</f>
        <v>15881190525</v>
      </c>
      <c r="L4395" s="122"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2" t="str">
        <f ca="1" t="shared" si="220"/>
        <v/>
      </c>
      <c r="P4395" s="62"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7" t="s">
        <v>238</v>
      </c>
      <c r="B4396" s="135" t="s">
        <v>44</v>
      </c>
      <c r="C4396" s="70">
        <v>45941</v>
      </c>
      <c r="D4396" s="40" t="str">
        <f>VLOOKUP(B4396,辅助信息!E:K,7,FALSE)</f>
        <v>JWDDCD2025060600053</v>
      </c>
      <c r="E4396" s="40" t="str">
        <f>VLOOKUP(F4396,辅助信息!A:B,2,FALSE)</f>
        <v>盘螺</v>
      </c>
      <c r="F4396" s="40" t="s">
        <v>49</v>
      </c>
      <c r="G4396" s="36">
        <v>33.6</v>
      </c>
      <c r="H4396" s="134">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09" t="str">
        <f>VLOOKUP(B4396,辅助信息!E:J,6,FALSE)</f>
        <v>对方卸车</v>
      </c>
      <c r="O4396" s="62" t="str">
        <f ca="1" t="shared" si="220"/>
        <v/>
      </c>
      <c r="P4396" s="62" t="str">
        <f ca="1" t="shared" si="221"/>
        <v/>
      </c>
      <c r="Q4396" s="29" t="str">
        <f>VLOOKUP(B4396,辅助信息!E:M,9,FALSE)</f>
        <v>ZTWM-CDGS-XS-2024-0189-华西集采-酒城南项目</v>
      </c>
      <c r="R4396" s="29" t="str">
        <f>_xlfn._xlws.FILTER(辅助信息!D:D,辅助信息!E:E=B4396)</f>
        <v>华西酒城南</v>
      </c>
    </row>
    <row r="4397" hidden="1" spans="2:18">
      <c r="B4397" s="135" t="s">
        <v>44</v>
      </c>
      <c r="C4397" s="70">
        <v>45941</v>
      </c>
      <c r="D4397" s="40" t="str">
        <f>VLOOKUP(B4397,辅助信息!E:K,7,FALSE)</f>
        <v>JWDDCD2025060600053</v>
      </c>
      <c r="E4397" s="40" t="str">
        <f>VLOOKUP(F4397,辅助信息!A:B,2,FALSE)</f>
        <v>盘螺</v>
      </c>
      <c r="F4397" s="40" t="s">
        <v>40</v>
      </c>
      <c r="G4397" s="36">
        <v>2.4</v>
      </c>
      <c r="H4397" s="134"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09" t="str">
        <f>VLOOKUP(B4397,辅助信息!E:J,6,FALSE)</f>
        <v>对方卸车</v>
      </c>
      <c r="O4397" s="62" t="str">
        <f ca="1" t="shared" si="220"/>
        <v/>
      </c>
      <c r="P4397" s="62" t="str">
        <f ca="1" t="shared" si="221"/>
        <v/>
      </c>
      <c r="Q4397" s="29" t="str">
        <f>VLOOKUP(B4397,辅助信息!E:M,9,FALSE)</f>
        <v>ZTWM-CDGS-XS-2024-0189-华西集采-酒城南项目</v>
      </c>
      <c r="R4397" s="29" t="str">
        <f>_xlfn._xlws.FILTER(辅助信息!D:D,辅助信息!E:E=B4397)</f>
        <v>华西酒城南</v>
      </c>
    </row>
    <row r="4398" hidden="1" spans="2:18">
      <c r="B4398" s="135" t="s">
        <v>44</v>
      </c>
      <c r="C4398" s="70">
        <v>45941</v>
      </c>
      <c r="D4398" s="40" t="str">
        <f>VLOOKUP(B4398,辅助信息!E:K,7,FALSE)</f>
        <v>JWDDCD2025060600053</v>
      </c>
      <c r="E4398" s="40" t="str">
        <f>VLOOKUP(F4398,辅助信息!A:B,2,FALSE)</f>
        <v>盘螺</v>
      </c>
      <c r="F4398" s="40" t="s">
        <v>26</v>
      </c>
      <c r="G4398" s="36">
        <v>7.2</v>
      </c>
      <c r="H4398" s="134"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09" t="str">
        <f>VLOOKUP(B4398,辅助信息!E:J,6,FALSE)</f>
        <v>对方卸车</v>
      </c>
      <c r="O4398" s="62" t="str">
        <f ca="1" t="shared" si="220"/>
        <v/>
      </c>
      <c r="P4398" s="62" t="str">
        <f ca="1" t="shared" si="221"/>
        <v/>
      </c>
      <c r="Q4398" s="29" t="str">
        <f>VLOOKUP(B4398,辅助信息!E:M,9,FALSE)</f>
        <v>ZTWM-CDGS-XS-2024-0189-华西集采-酒城南项目</v>
      </c>
      <c r="R4398" s="29" t="str">
        <f>_xlfn._xlws.FILTER(辅助信息!D:D,辅助信息!E:E=B4398)</f>
        <v>华西酒城南</v>
      </c>
    </row>
    <row r="4399" hidden="1" spans="2:18">
      <c r="B4399" s="135" t="s">
        <v>194</v>
      </c>
      <c r="C4399" s="70">
        <v>45941</v>
      </c>
      <c r="D4399" s="40" t="str">
        <f>VLOOKUP(B4399,辅助信息!E:K,7,FALSE)</f>
        <v>JWDD2025071500089</v>
      </c>
      <c r="E4399" s="40" t="str">
        <f>VLOOKUP(F4399,辅助信息!A:B,2,FALSE)</f>
        <v>盘螺</v>
      </c>
      <c r="F4399" s="40" t="s">
        <v>41</v>
      </c>
      <c r="G4399" s="36">
        <v>10</v>
      </c>
      <c r="H4399" s="134">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09" t="str">
        <f>VLOOKUP(B4399,辅助信息!E:J,6,FALSE)</f>
        <v>现场要求调度统一联系指定收货人，不单独发司机位置。锈货不收，装货前联系收货人核实到场规格,没提前告知进场规格现场不给予接收</v>
      </c>
      <c r="O4399" s="62" t="str">
        <f ca="1" t="shared" si="220"/>
        <v/>
      </c>
      <c r="P4399" s="62"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5" t="s">
        <v>194</v>
      </c>
      <c r="C4400" s="70">
        <v>45941</v>
      </c>
      <c r="D4400" s="40" t="str">
        <f>VLOOKUP(B4400,辅助信息!E:K,7,FALSE)</f>
        <v>JWDD2025071500089</v>
      </c>
      <c r="E4400" s="40" t="str">
        <f>VLOOKUP(F4400,辅助信息!A:B,2,FALSE)</f>
        <v>盘螺</v>
      </c>
      <c r="F4400" s="40" t="s">
        <v>26</v>
      </c>
      <c r="G4400" s="36">
        <v>25</v>
      </c>
      <c r="H4400" s="134">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09" t="str">
        <f>VLOOKUP(B4400,辅助信息!E:J,6,FALSE)</f>
        <v>现场要求调度统一联系指定收货人，不单独发司机位置。锈货不收，装货前联系收货人核实到场规格,没提前告知进场规格现场不给予接收</v>
      </c>
      <c r="O4400" s="62" t="str">
        <f ca="1" t="shared" si="220"/>
        <v/>
      </c>
      <c r="P4400" s="62"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5" t="s">
        <v>232</v>
      </c>
      <c r="C4401" s="70">
        <v>45941</v>
      </c>
      <c r="D4401" s="40" t="str">
        <f>VLOOKUP(B4401,辅助信息!E:K,7,FALSE)</f>
        <v>JWDDCD2025052800131</v>
      </c>
      <c r="E4401" s="40" t="str">
        <f>VLOOKUP(F4401,辅助信息!A:B,2,FALSE)</f>
        <v>螺纹钢</v>
      </c>
      <c r="F4401" s="40" t="s">
        <v>91</v>
      </c>
      <c r="G4401" s="36">
        <v>222</v>
      </c>
      <c r="H4401" s="134"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09" t="str">
        <f>VLOOKUP(B4401,辅助信息!E:J,6,FALSE)</f>
        <v>控制炉批号！多了现场不收！,优先安排达钢,提前联系到场规格及数量</v>
      </c>
      <c r="O4401" s="62" t="str">
        <f ca="1" t="shared" si="220"/>
        <v/>
      </c>
      <c r="P4401" s="62"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2" t="s">
        <v>239</v>
      </c>
      <c r="B4402" s="135" t="s">
        <v>44</v>
      </c>
      <c r="C4402" s="70">
        <v>45944</v>
      </c>
      <c r="D4402" s="40" t="str">
        <f>VLOOKUP(B4402,辅助信息!E:K,7,FALSE)</f>
        <v>JWDDCD2025060600053</v>
      </c>
      <c r="E4402" s="40" t="str">
        <f>VLOOKUP(F4402,辅助信息!A:B,2,FALSE)</f>
        <v>盘螺</v>
      </c>
      <c r="F4402" s="40" t="s">
        <v>40</v>
      </c>
      <c r="G4402" s="36">
        <v>2.4</v>
      </c>
      <c r="H4402" s="134">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09" t="str">
        <f>VLOOKUP(B4402,辅助信息!E:J,6,FALSE)</f>
        <v>对方卸车</v>
      </c>
      <c r="O4402" s="62" t="str">
        <f ca="1" t="shared" si="220"/>
        <v/>
      </c>
      <c r="P4402" s="62" t="str">
        <f ca="1" t="shared" si="221"/>
        <v/>
      </c>
      <c r="Q4402" s="29" t="str">
        <f>VLOOKUP(B4402,辅助信息!E:M,9,FALSE)</f>
        <v>ZTWM-CDGS-XS-2024-0189-华西集采-酒城南项目</v>
      </c>
      <c r="R4402" s="29" t="str">
        <f>_xlfn._xlws.FILTER(辅助信息!D:D,辅助信息!E:E=B4402)</f>
        <v>华西酒城南</v>
      </c>
    </row>
    <row r="4403" hidden="1" spans="1:18">
      <c r="A4403" s="92"/>
      <c r="B4403" s="135" t="s">
        <v>44</v>
      </c>
      <c r="C4403" s="70">
        <v>45944</v>
      </c>
      <c r="D4403" s="40" t="str">
        <f>VLOOKUP(B4403,辅助信息!E:K,7,FALSE)</f>
        <v>JWDDCD2025060600053</v>
      </c>
      <c r="E4403" s="40" t="str">
        <f>VLOOKUP(F4403,辅助信息!A:B,2,FALSE)</f>
        <v>盘螺</v>
      </c>
      <c r="F4403" s="40" t="s">
        <v>26</v>
      </c>
      <c r="G4403" s="36">
        <v>7.2</v>
      </c>
      <c r="H4403" s="134">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09" t="str">
        <f>VLOOKUP(B4403,辅助信息!E:J,6,FALSE)</f>
        <v>对方卸车</v>
      </c>
      <c r="O4403" s="62" t="str">
        <f ca="1" t="shared" si="220"/>
        <v/>
      </c>
      <c r="P4403" s="62" t="str">
        <f ca="1" t="shared" si="221"/>
        <v/>
      </c>
      <c r="Q4403" s="29" t="str">
        <f>VLOOKUP(B4403,辅助信息!E:M,9,FALSE)</f>
        <v>ZTWM-CDGS-XS-2024-0189-华西集采-酒城南项目</v>
      </c>
      <c r="R4403" s="29" t="str">
        <f>_xlfn._xlws.FILTER(辅助信息!D:D,辅助信息!E:E=B4403)</f>
        <v>华西酒城南</v>
      </c>
    </row>
    <row r="4404" hidden="1" spans="2:18">
      <c r="B4404" s="135" t="s">
        <v>81</v>
      </c>
      <c r="C4404" s="70">
        <v>45944</v>
      </c>
      <c r="D4404" s="40" t="str">
        <f>VLOOKUP(B4404,辅助信息!E:K,7,FALSE)</f>
        <v>JWDDCD2025060900080</v>
      </c>
      <c r="E4404" s="40" t="str">
        <f>VLOOKUP(F4404,辅助信息!A:B,2,FALSE)</f>
        <v>螺纹钢</v>
      </c>
      <c r="F4404" s="40" t="s">
        <v>19</v>
      </c>
      <c r="G4404" s="36">
        <v>3</v>
      </c>
      <c r="H4404" s="134">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09" t="str">
        <f>VLOOKUP(B4404,辅助信息!E:J,6,FALSE)</f>
        <v>现场禁止使用氢能源挂车！优先威钢发货,我方卸车,新老国标钢厂不加价可直发，因陕钢多次出现磅差，项目拒绝使用</v>
      </c>
      <c r="O4404" s="62" t="str">
        <f ca="1" t="shared" si="220"/>
        <v/>
      </c>
      <c r="P4404" s="62" t="str">
        <f ca="1" t="shared" si="221"/>
        <v/>
      </c>
      <c r="Q4404" s="29" t="str">
        <f>VLOOKUP(B4404,辅助信息!E:M,9,FALSE)</f>
        <v>ZTWM-CDGS-XS-2024-0030-华西集采-简州大道</v>
      </c>
      <c r="R4404" s="29" t="str">
        <f>_xlfn._xlws.FILTER(辅助信息!D:D,辅助信息!E:E=B4404)</f>
        <v>华西简阳西城嘉苑</v>
      </c>
    </row>
    <row r="4405" hidden="1" spans="2:18">
      <c r="B4405" s="135" t="s">
        <v>81</v>
      </c>
      <c r="C4405" s="70">
        <v>45944</v>
      </c>
      <c r="D4405" s="40" t="str">
        <f>VLOOKUP(B4405,辅助信息!E:K,7,FALSE)</f>
        <v>JWDDCD2025060900080</v>
      </c>
      <c r="E4405" s="40" t="str">
        <f>VLOOKUP(F4405,辅助信息!A:B,2,FALSE)</f>
        <v>螺纹钢</v>
      </c>
      <c r="F4405" s="40" t="s">
        <v>32</v>
      </c>
      <c r="G4405" s="36">
        <v>5</v>
      </c>
      <c r="H4405" s="134">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09" t="str">
        <f>VLOOKUP(B4405,辅助信息!E:J,6,FALSE)</f>
        <v>现场禁止使用氢能源挂车！优先威钢发货,我方卸车,新老国标钢厂不加价可直发，因陕钢多次出现磅差，项目拒绝使用</v>
      </c>
      <c r="O4405" s="62" t="str">
        <f ca="1" t="shared" si="220"/>
        <v/>
      </c>
      <c r="P4405" s="62" t="str">
        <f ca="1" t="shared" si="221"/>
        <v/>
      </c>
      <c r="Q4405" s="29" t="str">
        <f>VLOOKUP(B4405,辅助信息!E:M,9,FALSE)</f>
        <v>ZTWM-CDGS-XS-2024-0030-华西集采-简州大道</v>
      </c>
      <c r="R4405" s="29" t="str">
        <f>_xlfn._xlws.FILTER(辅助信息!D:D,辅助信息!E:E=B4405)</f>
        <v>华西简阳西城嘉苑</v>
      </c>
    </row>
    <row r="4406" hidden="1" spans="2:18">
      <c r="B4406" s="135" t="s">
        <v>81</v>
      </c>
      <c r="C4406" s="70">
        <v>45944</v>
      </c>
      <c r="D4406" s="40" t="str">
        <f>VLOOKUP(B4406,辅助信息!E:K,7,FALSE)</f>
        <v>JWDDCD2025060900080</v>
      </c>
      <c r="E4406" s="40" t="str">
        <f>VLOOKUP(F4406,辅助信息!A:B,2,FALSE)</f>
        <v>螺纹钢</v>
      </c>
      <c r="F4406" s="40" t="s">
        <v>30</v>
      </c>
      <c r="G4406" s="36">
        <v>30</v>
      </c>
      <c r="H4406" s="134">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09" t="str">
        <f>VLOOKUP(B4406,辅助信息!E:J,6,FALSE)</f>
        <v>现场禁止使用氢能源挂车！优先威钢发货,我方卸车,新老国标钢厂不加价可直发，因陕钢多次出现磅差，项目拒绝使用</v>
      </c>
      <c r="O4406" s="62" t="str">
        <f ca="1" t="shared" si="220"/>
        <v/>
      </c>
      <c r="P4406" s="62" t="str">
        <f ca="1" t="shared" si="221"/>
        <v/>
      </c>
      <c r="Q4406" s="29" t="str">
        <f>VLOOKUP(B4406,辅助信息!E:M,9,FALSE)</f>
        <v>ZTWM-CDGS-XS-2024-0030-华西集采-简州大道</v>
      </c>
      <c r="R4406" s="29" t="str">
        <f>_xlfn._xlws.FILTER(辅助信息!D:D,辅助信息!E:E=B4406)</f>
        <v>华西简阳西城嘉苑</v>
      </c>
    </row>
    <row r="4407" hidden="1" spans="2:18">
      <c r="B4407" s="135" t="s">
        <v>81</v>
      </c>
      <c r="C4407" s="70">
        <v>45944</v>
      </c>
      <c r="D4407" s="40" t="str">
        <f>VLOOKUP(B4407,辅助信息!E:K,7,FALSE)</f>
        <v>JWDDCD2025060900080</v>
      </c>
      <c r="E4407" s="40" t="str">
        <f>VLOOKUP(F4407,辅助信息!A:B,2,FALSE)</f>
        <v>螺纹钢</v>
      </c>
      <c r="F4407" s="40" t="s">
        <v>33</v>
      </c>
      <c r="G4407" s="36">
        <v>26</v>
      </c>
      <c r="H4407" s="134">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09" t="str">
        <f>VLOOKUP(B4407,辅助信息!E:J,6,FALSE)</f>
        <v>现场禁止使用氢能源挂车！优先威钢发货,我方卸车,新老国标钢厂不加价可直发，因陕钢多次出现磅差，项目拒绝使用</v>
      </c>
      <c r="O4407" s="62" t="str">
        <f ca="1" t="shared" si="220"/>
        <v/>
      </c>
      <c r="P4407" s="62" t="str">
        <f ca="1" t="shared" si="221"/>
        <v/>
      </c>
      <c r="Q4407" s="29" t="str">
        <f>VLOOKUP(B4407,辅助信息!E:M,9,FALSE)</f>
        <v>ZTWM-CDGS-XS-2024-0030-华西集采-简州大道</v>
      </c>
      <c r="R4407" s="29" t="str">
        <f>_xlfn._xlws.FILTER(辅助信息!D:D,辅助信息!E:E=B4407)</f>
        <v>华西简阳西城嘉苑</v>
      </c>
    </row>
    <row r="4408" hidden="1" spans="2:18">
      <c r="B4408" s="135" t="s">
        <v>81</v>
      </c>
      <c r="C4408" s="70">
        <v>45944</v>
      </c>
      <c r="D4408" s="40" t="str">
        <f>VLOOKUP(B4408,辅助信息!E:K,7,FALSE)</f>
        <v>JWDDCD2025060900080</v>
      </c>
      <c r="E4408" s="40" t="str">
        <f>VLOOKUP(F4408,辅助信息!A:B,2,FALSE)</f>
        <v>螺纹钢</v>
      </c>
      <c r="F4408" s="40" t="s">
        <v>28</v>
      </c>
      <c r="G4408" s="36">
        <v>3</v>
      </c>
      <c r="H4408" s="134">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09" t="str">
        <f>VLOOKUP(B4408,辅助信息!E:J,6,FALSE)</f>
        <v>现场禁止使用氢能源挂车！优先威钢发货,我方卸车,新老国标钢厂不加价可直发，因陕钢多次出现磅差，项目拒绝使用</v>
      </c>
      <c r="O4408" s="62" t="str">
        <f ca="1" t="shared" si="220"/>
        <v/>
      </c>
      <c r="P4408" s="62" t="str">
        <f ca="1" t="shared" si="221"/>
        <v/>
      </c>
      <c r="Q4408" s="29" t="str">
        <f>VLOOKUP(B4408,辅助信息!E:M,9,FALSE)</f>
        <v>ZTWM-CDGS-XS-2024-0030-华西集采-简州大道</v>
      </c>
      <c r="R4408" s="29" t="str">
        <f>_xlfn._xlws.FILTER(辅助信息!D:D,辅助信息!E:E=B4408)</f>
        <v>华西简阳西城嘉苑</v>
      </c>
    </row>
    <row r="4409" hidden="1" spans="2:18">
      <c r="B4409" s="135" t="s">
        <v>81</v>
      </c>
      <c r="C4409" s="70">
        <v>45944</v>
      </c>
      <c r="D4409" s="40" t="str">
        <f>VLOOKUP(B4409,辅助信息!E:K,7,FALSE)</f>
        <v>JWDDCD2025060900080</v>
      </c>
      <c r="E4409" s="40" t="str">
        <f>VLOOKUP(F4409,辅助信息!A:B,2,FALSE)</f>
        <v>螺纹钢</v>
      </c>
      <c r="F4409" s="40" t="s">
        <v>21</v>
      </c>
      <c r="G4409" s="36">
        <v>2.5</v>
      </c>
      <c r="H4409" s="134">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09" t="str">
        <f>VLOOKUP(B4409,辅助信息!E:J,6,FALSE)</f>
        <v>现场禁止使用氢能源挂车！优先威钢发货,我方卸车,新老国标钢厂不加价可直发，因陕钢多次出现磅差，项目拒绝使用</v>
      </c>
      <c r="O4409" s="62" t="str">
        <f ca="1" t="shared" si="220"/>
        <v/>
      </c>
      <c r="P4409" s="62" t="str">
        <f ca="1" t="shared" si="221"/>
        <v/>
      </c>
      <c r="Q4409" s="29" t="str">
        <f>VLOOKUP(B4409,辅助信息!E:M,9,FALSE)</f>
        <v>ZTWM-CDGS-XS-2024-0030-华西集采-简州大道</v>
      </c>
      <c r="R4409" s="29" t="str">
        <f>_xlfn._xlws.FILTER(辅助信息!D:D,辅助信息!E:E=B4409)</f>
        <v>华西简阳西城嘉苑</v>
      </c>
    </row>
    <row r="4410" hidden="1" spans="2:18">
      <c r="B4410" s="135" t="s">
        <v>81</v>
      </c>
      <c r="C4410" s="70">
        <v>45944</v>
      </c>
      <c r="D4410" s="40" t="str">
        <f>VLOOKUP(B4410,辅助信息!E:K,7,FALSE)</f>
        <v>JWDDCD2025060900080</v>
      </c>
      <c r="E4410" s="40" t="str">
        <f>VLOOKUP(F4410,辅助信息!A:B,2,FALSE)</f>
        <v>螺纹钢</v>
      </c>
      <c r="F4410" s="40" t="s">
        <v>58</v>
      </c>
      <c r="G4410" s="36">
        <v>9</v>
      </c>
      <c r="H4410" s="134">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09" t="str">
        <f>VLOOKUP(B4410,辅助信息!E:J,6,FALSE)</f>
        <v>现场禁止使用氢能源挂车！优先威钢发货,我方卸车,新老国标钢厂不加价可直发，因陕钢多次出现磅差，项目拒绝使用</v>
      </c>
      <c r="O4410" s="62" t="str">
        <f ca="1" t="shared" si="220"/>
        <v/>
      </c>
      <c r="P4410" s="62" t="str">
        <f ca="1" t="shared" si="221"/>
        <v/>
      </c>
      <c r="Q4410" s="29" t="str">
        <f>VLOOKUP(B4410,辅助信息!E:M,9,FALSE)</f>
        <v>ZTWM-CDGS-XS-2024-0030-华西集采-简州大道</v>
      </c>
      <c r="R4410" s="29" t="str">
        <f>_xlfn._xlws.FILTER(辅助信息!D:D,辅助信息!E:E=B4410)</f>
        <v>华西简阳西城嘉苑</v>
      </c>
    </row>
    <row r="4411" hidden="1" spans="2:18">
      <c r="B4411" s="135" t="s">
        <v>81</v>
      </c>
      <c r="C4411" s="70">
        <v>45944</v>
      </c>
      <c r="D4411" s="40" t="str">
        <f>VLOOKUP(B4411,辅助信息!E:K,7,FALSE)</f>
        <v>JWDDCD2025060900080</v>
      </c>
      <c r="E4411" s="40" t="str">
        <f>VLOOKUP(F4411,辅助信息!A:B,2,FALSE)</f>
        <v>螺纹钢</v>
      </c>
      <c r="F4411" s="40" t="s">
        <v>46</v>
      </c>
      <c r="G4411" s="36">
        <v>3</v>
      </c>
      <c r="H4411" s="134">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09" t="str">
        <f>VLOOKUP(B4411,辅助信息!E:J,6,FALSE)</f>
        <v>现场禁止使用氢能源挂车！优先威钢发货,我方卸车,新老国标钢厂不加价可直发，因陕钢多次出现磅差，项目拒绝使用</v>
      </c>
      <c r="O4411" s="62" t="str">
        <f ca="1" t="shared" si="220"/>
        <v/>
      </c>
      <c r="P4411" s="62" t="str">
        <f ca="1" t="shared" si="221"/>
        <v/>
      </c>
      <c r="Q4411" s="29" t="str">
        <f>VLOOKUP(B4411,辅助信息!E:M,9,FALSE)</f>
        <v>ZTWM-CDGS-XS-2024-0030-华西集采-简州大道</v>
      </c>
      <c r="R4411" s="29" t="str">
        <f>_xlfn._xlws.FILTER(辅助信息!D:D,辅助信息!E:E=B4411)</f>
        <v>华西简阳西城嘉苑</v>
      </c>
    </row>
    <row r="4412" hidden="1" spans="2:18">
      <c r="B4412" s="135" t="s">
        <v>81</v>
      </c>
      <c r="C4412" s="70">
        <v>45944</v>
      </c>
      <c r="D4412" s="40" t="str">
        <f>VLOOKUP(B4412,辅助信息!E:K,7,FALSE)</f>
        <v>JWDDCD2025060900080</v>
      </c>
      <c r="E4412" s="40" t="str">
        <f>VLOOKUP(F4412,辅助信息!A:B,2,FALSE)</f>
        <v>盘螺</v>
      </c>
      <c r="F4412" s="40" t="s">
        <v>41</v>
      </c>
      <c r="G4412" s="36">
        <v>75</v>
      </c>
      <c r="H4412" s="134">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09" t="str">
        <f>VLOOKUP(B4412,辅助信息!E:J,6,FALSE)</f>
        <v>现场禁止使用氢能源挂车！优先威钢发货,我方卸车,新老国标钢厂不加价可直发，因陕钢多次出现磅差，项目拒绝使用</v>
      </c>
      <c r="O4412" s="62" t="str">
        <f ca="1" t="shared" si="220"/>
        <v/>
      </c>
      <c r="P4412" s="62" t="str">
        <f ca="1" t="shared" si="221"/>
        <v/>
      </c>
      <c r="Q4412" s="29" t="str">
        <f>VLOOKUP(B4412,辅助信息!E:M,9,FALSE)</f>
        <v>ZTWM-CDGS-XS-2024-0030-华西集采-简州大道</v>
      </c>
      <c r="R4412" s="29" t="str">
        <f>_xlfn._xlws.FILTER(辅助信息!D:D,辅助信息!E:E=B4412)</f>
        <v>华西简阳西城嘉苑</v>
      </c>
    </row>
    <row r="4413" hidden="1" spans="2:18">
      <c r="B4413" s="135" t="s">
        <v>81</v>
      </c>
      <c r="C4413" s="70">
        <v>45944</v>
      </c>
      <c r="D4413" s="40" t="str">
        <f>VLOOKUP(B4413,辅助信息!E:K,7,FALSE)</f>
        <v>JWDDCD2025060900080</v>
      </c>
      <c r="E4413" s="40" t="str">
        <f>VLOOKUP(F4413,辅助信息!A:B,2,FALSE)</f>
        <v>盘螺</v>
      </c>
      <c r="F4413" s="40" t="s">
        <v>26</v>
      </c>
      <c r="G4413" s="36">
        <v>20</v>
      </c>
      <c r="H4413" s="134">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09" t="str">
        <f>VLOOKUP(B4413,辅助信息!E:J,6,FALSE)</f>
        <v>现场禁止使用氢能源挂车！优先威钢发货,我方卸车,新老国标钢厂不加价可直发，因陕钢多次出现磅差，项目拒绝使用</v>
      </c>
      <c r="O4413" s="62" t="str">
        <f ca="1" t="shared" si="220"/>
        <v/>
      </c>
      <c r="P4413" s="62" t="str">
        <f ca="1" t="shared" si="221"/>
        <v/>
      </c>
      <c r="Q4413" s="29" t="str">
        <f>VLOOKUP(B4413,辅助信息!E:M,9,FALSE)</f>
        <v>ZTWM-CDGS-XS-2024-0030-华西集采-简州大道</v>
      </c>
      <c r="R4413" s="29" t="str">
        <f>_xlfn._xlws.FILTER(辅助信息!D:D,辅助信息!E:E=B4413)</f>
        <v>华西简阳西城嘉苑</v>
      </c>
    </row>
    <row r="4414" hidden="1" spans="2:18">
      <c r="B4414" s="135" t="s">
        <v>81</v>
      </c>
      <c r="C4414" s="70">
        <v>45944</v>
      </c>
      <c r="D4414" s="40" t="str">
        <f>VLOOKUP(B4414,辅助信息!E:K,7,FALSE)</f>
        <v>JWDDCD2025060900080</v>
      </c>
      <c r="E4414" s="40" t="str">
        <f>VLOOKUP(F4414,辅助信息!A:B,2,FALSE)</f>
        <v>盘螺</v>
      </c>
      <c r="F4414" s="40" t="s">
        <v>49</v>
      </c>
      <c r="G4414" s="36">
        <v>20</v>
      </c>
      <c r="H4414" s="134">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09" t="str">
        <f>VLOOKUP(B4414,辅助信息!E:J,6,FALSE)</f>
        <v>现场禁止使用氢能源挂车！优先威钢发货,我方卸车,新老国标钢厂不加价可直发，因陕钢多次出现磅差，项目拒绝使用</v>
      </c>
      <c r="O4414" s="62" t="str">
        <f ca="1" t="shared" si="220"/>
        <v/>
      </c>
      <c r="P4414" s="62" t="str">
        <f ca="1" t="shared" si="221"/>
        <v/>
      </c>
      <c r="Q4414" s="29" t="str">
        <f>VLOOKUP(B4414,辅助信息!E:M,9,FALSE)</f>
        <v>ZTWM-CDGS-XS-2024-0030-华西集采-简州大道</v>
      </c>
      <c r="R4414" s="29" t="str">
        <f>_xlfn._xlws.FILTER(辅助信息!D:D,辅助信息!E:E=B4414)</f>
        <v>华西简阳西城嘉苑</v>
      </c>
    </row>
    <row r="4415" hidden="1" spans="2:18">
      <c r="B4415" s="135" t="s">
        <v>81</v>
      </c>
      <c r="C4415" s="70">
        <v>45944</v>
      </c>
      <c r="D4415" s="40" t="str">
        <f>VLOOKUP(B4415,辅助信息!E:K,7,FALSE)</f>
        <v>JWDDCD2025060900080</v>
      </c>
      <c r="E4415" s="40" t="str">
        <f>VLOOKUP(F4415,辅助信息!A:B,2,FALSE)</f>
        <v>盘螺</v>
      </c>
      <c r="F4415" s="40" t="s">
        <v>40</v>
      </c>
      <c r="G4415" s="36">
        <v>115</v>
      </c>
      <c r="H4415" s="134">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09" t="str">
        <f>VLOOKUP(B4415,辅助信息!E:J,6,FALSE)</f>
        <v>现场禁止使用氢能源挂车！优先威钢发货,我方卸车,新老国标钢厂不加价可直发，因陕钢多次出现磅差，项目拒绝使用</v>
      </c>
      <c r="O4415" s="62" t="str">
        <f ca="1" t="shared" si="220"/>
        <v/>
      </c>
      <c r="P4415" s="62" t="str">
        <f ca="1" t="shared" si="221"/>
        <v/>
      </c>
      <c r="Q4415" s="29" t="str">
        <f>VLOOKUP(B4415,辅助信息!E:M,9,FALSE)</f>
        <v>ZTWM-CDGS-XS-2024-0030-华西集采-简州大道</v>
      </c>
      <c r="R4415" s="29" t="str">
        <f>_xlfn._xlws.FILTER(辅助信息!D:D,辅助信息!E:E=B4415)</f>
        <v>华西简阳西城嘉苑</v>
      </c>
    </row>
    <row r="4416" hidden="1" spans="2:18">
      <c r="B4416" s="135" t="s">
        <v>92</v>
      </c>
      <c r="C4416" s="70">
        <v>45944</v>
      </c>
      <c r="D4416" s="40" t="str">
        <f>VLOOKUP(B4416,辅助信息!E:K,7,FALSE)</f>
        <v>JWDDCD2025051800046</v>
      </c>
      <c r="E4416" s="40" t="str">
        <f>VLOOKUP(F4416,辅助信息!A:B,2,FALSE)</f>
        <v>盘螺</v>
      </c>
      <c r="F4416" s="40" t="s">
        <v>26</v>
      </c>
      <c r="G4416" s="36">
        <v>5</v>
      </c>
      <c r="H4416" s="134">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09" t="str">
        <f>VLOOKUP(B4416,辅助信息!E:J,6,FALSE)</f>
        <v>优先威钢,我方卸车,新老国标钢厂不加价可直发</v>
      </c>
      <c r="O4416" s="62" t="str">
        <f ca="1" t="shared" si="220"/>
        <v/>
      </c>
      <c r="P4416" s="62"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5" t="s">
        <v>92</v>
      </c>
      <c r="C4417" s="70">
        <v>45944</v>
      </c>
      <c r="D4417" s="40" t="str">
        <f>VLOOKUP(B4417,辅助信息!E:K,7,FALSE)</f>
        <v>JWDDCD2025051800046</v>
      </c>
      <c r="E4417" s="40" t="str">
        <f>VLOOKUP(F4417,辅助信息!A:B,2,FALSE)</f>
        <v>盘螺</v>
      </c>
      <c r="F4417" s="40" t="s">
        <v>49</v>
      </c>
      <c r="G4417" s="36">
        <v>2.5</v>
      </c>
      <c r="H4417" s="134">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09" t="str">
        <f>VLOOKUP(B4417,辅助信息!E:J,6,FALSE)</f>
        <v>优先威钢,我方卸车,新老国标钢厂不加价可直发</v>
      </c>
      <c r="O4417" s="62" t="str">
        <f ca="1" t="shared" si="220"/>
        <v/>
      </c>
      <c r="P4417" s="62"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5" t="s">
        <v>92</v>
      </c>
      <c r="C4418" s="70">
        <v>45944</v>
      </c>
      <c r="D4418" s="40" t="str">
        <f>VLOOKUP(B4418,辅助信息!E:K,7,FALSE)</f>
        <v>JWDDCD2025051800046</v>
      </c>
      <c r="E4418" s="40" t="str">
        <f>VLOOKUP(F4418,辅助信息!A:B,2,FALSE)</f>
        <v>盘螺</v>
      </c>
      <c r="F4418" s="40" t="s">
        <v>40</v>
      </c>
      <c r="G4418" s="36">
        <v>20</v>
      </c>
      <c r="H4418" s="134">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09" t="str">
        <f>VLOOKUP(B4418,辅助信息!E:J,6,FALSE)</f>
        <v>优先威钢,我方卸车,新老国标钢厂不加价可直发</v>
      </c>
      <c r="O4418" s="62" t="str">
        <f ca="1" t="shared" si="220"/>
        <v/>
      </c>
      <c r="P4418" s="62"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5" t="s">
        <v>187</v>
      </c>
      <c r="C4419" s="70">
        <v>45944</v>
      </c>
      <c r="D4419" s="40" t="str">
        <f>VLOOKUP(B4419,辅助信息!E:K,7,FALSE)</f>
        <v>JWDDCD2025072900121</v>
      </c>
      <c r="E4419" s="40" t="str">
        <f>VLOOKUP(F4419,辅助信息!A:B,2,FALSE)</f>
        <v>螺纹钢</v>
      </c>
      <c r="F4419" s="40" t="s">
        <v>66</v>
      </c>
      <c r="G4419" s="36">
        <v>10</v>
      </c>
      <c r="H4419" s="134">
        <f>IF(SUMIFS('[1]2025年已发货'!$E:$E,'[1]2025年已发货'!$F:$F,C4419,'[1]2025年已发货'!$C:$C,F4419,'[1]2025年已发货'!$G:$G,I4419,'[1]2025年已发货'!$H:$H,J4419)=0,"未发货",SUMIFS('[1]2025年已发货'!$E:$E,'[1]2025年已发货'!$F:$F,C4419,'[1]2025年已发货'!$C:$C,F4419,'[1]2025年已发货'!$G:$G,I4419,'[1]2025年已发货'!$H:$H,J4419))</f>
        <v>10</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09" t="str">
        <f>VLOOKUP(B4419,辅助信息!E:J,6,FALSE)</f>
        <v>联系实际收货人（范增云13668153241）现场要求炉批号控制2个以下，超2个不给予签收。提前联系到场规格及数量</v>
      </c>
      <c r="O4419" s="62" t="str">
        <f ca="1" t="shared" si="220"/>
        <v/>
      </c>
      <c r="P4419" s="62"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5" t="s">
        <v>187</v>
      </c>
      <c r="C4420" s="70">
        <v>45944</v>
      </c>
      <c r="D4420" s="40" t="str">
        <f>VLOOKUP(B4420,辅助信息!E:K,7,FALSE)</f>
        <v>JWDDCD2025072900121</v>
      </c>
      <c r="E4420" s="40" t="str">
        <f>VLOOKUP(F4420,辅助信息!A:B,2,FALSE)</f>
        <v>螺纹钢</v>
      </c>
      <c r="F4420" s="40" t="s">
        <v>82</v>
      </c>
      <c r="G4420" s="36">
        <v>15</v>
      </c>
      <c r="H4420" s="134">
        <f>IF(SUMIFS('[1]2025年已发货'!$E:$E,'[1]2025年已发货'!$F:$F,C4420,'[1]2025年已发货'!$C:$C,F4420,'[1]2025年已发货'!$G:$G,I4420,'[1]2025年已发货'!$H:$H,J4420)=0,"未发货",SUMIFS('[1]2025年已发货'!$E:$E,'[1]2025年已发货'!$F:$F,C4420,'[1]2025年已发货'!$C:$C,F4420,'[1]2025年已发货'!$G:$G,I4420,'[1]2025年已发货'!$H:$H,J4420))</f>
        <v>15</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09" t="str">
        <f>VLOOKUP(B4420,辅助信息!E:J,6,FALSE)</f>
        <v>联系实际收货人（范增云13668153241）现场要求炉批号控制2个以下，超2个不给予签收。提前联系到场规格及数量</v>
      </c>
      <c r="O4420" s="62" t="str">
        <f ca="1" t="shared" si="220"/>
        <v/>
      </c>
      <c r="P4420" s="62"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5" t="s">
        <v>187</v>
      </c>
      <c r="C4421" s="70">
        <v>45944</v>
      </c>
      <c r="D4421" s="40" t="str">
        <f>VLOOKUP(B4421,辅助信息!E:K,7,FALSE)</f>
        <v>JWDDCD2025072900121</v>
      </c>
      <c r="E4421" s="40" t="str">
        <f>VLOOKUP(F4421,辅助信息!A:B,2,FALSE)</f>
        <v>螺纹钢</v>
      </c>
      <c r="F4421" s="40" t="s">
        <v>45</v>
      </c>
      <c r="G4421" s="36">
        <v>13</v>
      </c>
      <c r="H4421" s="134">
        <f>IF(SUMIFS('[1]2025年已发货'!$E:$E,'[1]2025年已发货'!$F:$F,C4421,'[1]2025年已发货'!$C:$C,F4421,'[1]2025年已发货'!$G:$G,I4421,'[1]2025年已发货'!$H:$H,J4421)=0,"未发货",SUMIFS('[1]2025年已发货'!$E:$E,'[1]2025年已发货'!$F:$F,C4421,'[1]2025年已发货'!$C:$C,F4421,'[1]2025年已发货'!$G:$G,I4421,'[1]2025年已发货'!$H:$H,J4421))</f>
        <v>13</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09" t="str">
        <f>VLOOKUP(B4421,辅助信息!E:J,6,FALSE)</f>
        <v>联系实际收货人（范增云13668153241）现场要求炉批号控制2个以下，超2个不给予签收。提前联系到场规格及数量</v>
      </c>
      <c r="O4421" s="62" t="str">
        <f ca="1" t="shared" si="220"/>
        <v/>
      </c>
      <c r="P4421" s="62"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5" t="s">
        <v>187</v>
      </c>
      <c r="C4422" s="70">
        <v>45944</v>
      </c>
      <c r="D4422" s="40" t="str">
        <f>VLOOKUP(B4422,辅助信息!E:K,7,FALSE)</f>
        <v>JWDDCD2025072900121</v>
      </c>
      <c r="E4422" s="40" t="str">
        <f>VLOOKUP(F4422,辅助信息!A:B,2,FALSE)</f>
        <v>螺纹钢</v>
      </c>
      <c r="F4422" s="40" t="s">
        <v>21</v>
      </c>
      <c r="G4422" s="36">
        <v>10</v>
      </c>
      <c r="H4422" s="134">
        <f>IF(SUMIFS('[1]2025年已发货'!$E:$E,'[1]2025年已发货'!$F:$F,C4422,'[1]2025年已发货'!$C:$C,F4422,'[1]2025年已发货'!$G:$G,I4422,'[1]2025年已发货'!$H:$H,J4422)=0,"未发货",SUMIFS('[1]2025年已发货'!$E:$E,'[1]2025年已发货'!$F:$F,C4422,'[1]2025年已发货'!$C:$C,F4422,'[1]2025年已发货'!$G:$G,I4422,'[1]2025年已发货'!$H:$H,J4422))</f>
        <v>10</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09" t="str">
        <f>VLOOKUP(B4422,辅助信息!E:J,6,FALSE)</f>
        <v>联系实际收货人（范增云13668153241）现场要求炉批号控制2个以下，超2个不给予签收。提前联系到场规格及数量</v>
      </c>
      <c r="O4422" s="62" t="str">
        <f ca="1" t="shared" si="220"/>
        <v/>
      </c>
      <c r="P4422" s="62"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5" t="s">
        <v>187</v>
      </c>
      <c r="C4423" s="70">
        <v>45944</v>
      </c>
      <c r="D4423" s="40" t="str">
        <f>VLOOKUP(B4423,辅助信息!E:K,7,FALSE)</f>
        <v>JWDDCD2025072900121</v>
      </c>
      <c r="E4423" s="40" t="str">
        <f>VLOOKUP(F4423,辅助信息!A:B,2,FALSE)</f>
        <v>螺纹钢</v>
      </c>
      <c r="F4423" s="40" t="s">
        <v>198</v>
      </c>
      <c r="G4423" s="36">
        <v>10</v>
      </c>
      <c r="H4423" s="134"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09" t="str">
        <f>VLOOKUP(B4423,辅助信息!E:J,6,FALSE)</f>
        <v>联系实际收货人（范增云13668153241）现场要求炉批号控制2个以下，超2个不给予签收。提前联系到场规格及数量</v>
      </c>
      <c r="O4423" s="62" t="str">
        <f ca="1" t="shared" si="220"/>
        <v/>
      </c>
      <c r="P4423" s="62"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5" t="s">
        <v>187</v>
      </c>
      <c r="C4424" s="70">
        <v>45944</v>
      </c>
      <c r="D4424" s="40" t="str">
        <f>VLOOKUP(B4424,辅助信息!E:K,7,FALSE)</f>
        <v>JWDDCD2025072900121</v>
      </c>
      <c r="E4424" s="40" t="str">
        <f>VLOOKUP(F4424,辅助信息!A:B,2,FALSE)</f>
        <v>螺纹钢</v>
      </c>
      <c r="F4424" s="40" t="s">
        <v>58</v>
      </c>
      <c r="G4424" s="36">
        <v>15</v>
      </c>
      <c r="H4424" s="134">
        <f>IF(SUMIFS('[1]2025年已发货'!$E:$E,'[1]2025年已发货'!$F:$F,C4424,'[1]2025年已发货'!$C:$C,F4424,'[1]2025年已发货'!$G:$G,I4424,'[1]2025年已发货'!$H:$H,J4424)=0,"未发货",SUMIFS('[1]2025年已发货'!$E:$E,'[1]2025年已发货'!$F:$F,C4424,'[1]2025年已发货'!$C:$C,F4424,'[1]2025年已发货'!$G:$G,I4424,'[1]2025年已发货'!$H:$H,J4424))</f>
        <v>15</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09" t="str">
        <f>VLOOKUP(B4424,辅助信息!E:J,6,FALSE)</f>
        <v>联系实际收货人（范增云13668153241）现场要求炉批号控制2个以下，超2个不给予签收。提前联系到场规格及数量</v>
      </c>
      <c r="O4424" s="62" t="str">
        <f ca="1" t="shared" si="220"/>
        <v/>
      </c>
      <c r="P4424" s="62"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5" t="s">
        <v>187</v>
      </c>
      <c r="C4425" s="70">
        <v>45944</v>
      </c>
      <c r="D4425" s="40" t="str">
        <f>VLOOKUP(B4425,辅助信息!E:K,7,FALSE)</f>
        <v>JWDDCD2025072900121</v>
      </c>
      <c r="E4425" s="40" t="str">
        <f>VLOOKUP(F4425,辅助信息!A:B,2,FALSE)</f>
        <v>螺纹钢</v>
      </c>
      <c r="F4425" s="40" t="s">
        <v>199</v>
      </c>
      <c r="G4425" s="36">
        <v>10</v>
      </c>
      <c r="H4425" s="134"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09" t="str">
        <f>VLOOKUP(B4425,辅助信息!E:J,6,FALSE)</f>
        <v>联系实际收货人（范增云13668153241）现场要求炉批号控制2个以下，超2个不给予签收。提前联系到场规格及数量</v>
      </c>
      <c r="O4425" s="62" t="str">
        <f ca="1" t="shared" si="220"/>
        <v/>
      </c>
      <c r="P4425" s="62"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5" t="s">
        <v>187</v>
      </c>
      <c r="C4426" s="70">
        <v>45944</v>
      </c>
      <c r="D4426" s="40" t="str">
        <f>VLOOKUP(B4426,辅助信息!E:K,7,FALSE)</f>
        <v>JWDDCD2025072900121</v>
      </c>
      <c r="E4426" s="40" t="str">
        <f>VLOOKUP(F4426,辅助信息!A:B,2,FALSE)</f>
        <v>螺纹钢</v>
      </c>
      <c r="F4426" s="40" t="s">
        <v>141</v>
      </c>
      <c r="G4426" s="36">
        <v>18</v>
      </c>
      <c r="H4426" s="134">
        <f>IF(SUMIFS('[1]2025年已发货'!$E:$E,'[1]2025年已发货'!$F:$F,C4426,'[1]2025年已发货'!$C:$C,F4426,'[1]2025年已发货'!$G:$G,I4426,'[1]2025年已发货'!$H:$H,J4426)=0,"未发货",SUMIFS('[1]2025年已发货'!$E:$E,'[1]2025年已发货'!$F:$F,C4426,'[1]2025年已发货'!$C:$C,F4426,'[1]2025年已发货'!$G:$G,I4426,'[1]2025年已发货'!$H:$H,J4426))</f>
        <v>18</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09" t="str">
        <f>VLOOKUP(B4426,辅助信息!E:J,6,FALSE)</f>
        <v>联系实际收货人（范增云13668153241）现场要求炉批号控制2个以下，超2个不给予签收。提前联系到场规格及数量</v>
      </c>
      <c r="O4426" s="62" t="str">
        <f ca="1" t="shared" si="220"/>
        <v/>
      </c>
      <c r="P4426" s="62"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5" t="s">
        <v>187</v>
      </c>
      <c r="C4427" s="70">
        <v>45944</v>
      </c>
      <c r="D4427" s="40" t="str">
        <f>VLOOKUP(B4427,辅助信息!E:K,7,FALSE)</f>
        <v>JWDDCD2025072900121</v>
      </c>
      <c r="E4427" s="40" t="str">
        <f>VLOOKUP(F4427,辅助信息!A:B,2,FALSE)</f>
        <v>螺纹钢</v>
      </c>
      <c r="F4427" s="40" t="s">
        <v>22</v>
      </c>
      <c r="G4427" s="36">
        <v>40</v>
      </c>
      <c r="H4427" s="134">
        <f>IF(SUMIFS('[1]2025年已发货'!$E:$E,'[1]2025年已发货'!$F:$F,C4427,'[1]2025年已发货'!$C:$C,F4427,'[1]2025年已发货'!$G:$G,I4427,'[1]2025年已发货'!$H:$H,J4427)=0,"未发货",SUMIFS('[1]2025年已发货'!$E:$E,'[1]2025年已发货'!$F:$F,C4427,'[1]2025年已发货'!$C:$C,F4427,'[1]2025年已发货'!$G:$G,I4427,'[1]2025年已发货'!$H:$H,J4427))</f>
        <v>40</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09" t="str">
        <f>VLOOKUP(B4427,辅助信息!E:J,6,FALSE)</f>
        <v>联系实际收货人（范增云13668153241）现场要求炉批号控制2个以下，超2个不给予签收。提前联系到场规格及数量</v>
      </c>
      <c r="O4427" s="62" t="str">
        <f ca="1" t="shared" si="220"/>
        <v/>
      </c>
      <c r="P4427" s="62"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5" t="s">
        <v>187</v>
      </c>
      <c r="C4428" s="70">
        <v>45944</v>
      </c>
      <c r="D4428" s="40" t="str">
        <f>VLOOKUP(B4428,辅助信息!E:K,7,FALSE)</f>
        <v>JWDDCD2025072900121</v>
      </c>
      <c r="E4428" s="40" t="str">
        <f>VLOOKUP(F4428,辅助信息!A:B,2,FALSE)</f>
        <v>螺纹钢</v>
      </c>
      <c r="F4428" s="40" t="s">
        <v>142</v>
      </c>
      <c r="G4428" s="36">
        <v>45</v>
      </c>
      <c r="H4428" s="134">
        <f>IF(SUMIFS('[1]2025年已发货'!$E:$E,'[1]2025年已发货'!$F:$F,C4428,'[1]2025年已发货'!$C:$C,F4428,'[1]2025年已发货'!$G:$G,I4428,'[1]2025年已发货'!$H:$H,J4428)=0,"未发货",SUMIFS('[1]2025年已发货'!$E:$E,'[1]2025年已发货'!$F:$F,C4428,'[1]2025年已发货'!$C:$C,F4428,'[1]2025年已发货'!$G:$G,I4428,'[1]2025年已发货'!$H:$H,J4428))</f>
        <v>45</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09" t="str">
        <f>VLOOKUP(B4428,辅助信息!E:J,6,FALSE)</f>
        <v>联系实际收货人（范增云13668153241）现场要求炉批号控制2个以下，超2个不给予签收。提前联系到场规格及数量</v>
      </c>
      <c r="O4428" s="62" t="str">
        <f ca="1" t="shared" si="220"/>
        <v/>
      </c>
      <c r="P4428" s="62"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5" t="s">
        <v>187</v>
      </c>
      <c r="C4429" s="70">
        <v>45944</v>
      </c>
      <c r="D4429" s="40" t="str">
        <f>VLOOKUP(B4429,辅助信息!E:K,7,FALSE)</f>
        <v>JWDDCD2025072900121</v>
      </c>
      <c r="E4429" s="40" t="str">
        <f>VLOOKUP(F4429,辅助信息!A:B,2,FALSE)</f>
        <v>螺纹钢</v>
      </c>
      <c r="F4429" s="40" t="s">
        <v>181</v>
      </c>
      <c r="G4429" s="36">
        <v>15</v>
      </c>
      <c r="H4429" s="134">
        <f>IF(SUMIFS('[1]2025年已发货'!$E:$E,'[1]2025年已发货'!$F:$F,C4429,'[1]2025年已发货'!$C:$C,F4429,'[1]2025年已发货'!$G:$G,I4429,'[1]2025年已发货'!$H:$H,J4429)=0,"未发货",SUMIFS('[1]2025年已发货'!$E:$E,'[1]2025年已发货'!$F:$F,C4429,'[1]2025年已发货'!$C:$C,F4429,'[1]2025年已发货'!$G:$G,I4429,'[1]2025年已发货'!$H:$H,J4429))</f>
        <v>15</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09" t="str">
        <f>VLOOKUP(B4429,辅助信息!E:J,6,FALSE)</f>
        <v>联系实际收货人（范增云13668153241）现场要求炉批号控制2个以下，超2个不给予签收。提前联系到场规格及数量</v>
      </c>
      <c r="O4429" s="62" t="str">
        <f ca="1" t="shared" si="220"/>
        <v/>
      </c>
      <c r="P4429" s="62"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5" t="s">
        <v>187</v>
      </c>
      <c r="C4430" s="70">
        <v>45944</v>
      </c>
      <c r="D4430" s="40" t="str">
        <f>VLOOKUP(B4430,辅助信息!E:K,7,FALSE)</f>
        <v>JWDDCD2025072900121</v>
      </c>
      <c r="E4430" s="40" t="str">
        <f>VLOOKUP(F4430,辅助信息!A:B,2,FALSE)</f>
        <v>螺纹钢</v>
      </c>
      <c r="F4430" s="40" t="s">
        <v>200</v>
      </c>
      <c r="G4430" s="36">
        <v>5</v>
      </c>
      <c r="H4430" s="134">
        <f>IF(SUMIFS('[1]2025年已发货'!$E:$E,'[1]2025年已发货'!$F:$F,C4430,'[1]2025年已发货'!$C:$C,F4430,'[1]2025年已发货'!$G:$G,I4430,'[1]2025年已发货'!$H:$H,J4430)=0,"未发货",SUMIFS('[1]2025年已发货'!$E:$E,'[1]2025年已发货'!$F:$F,C4430,'[1]2025年已发货'!$C:$C,F4430,'[1]2025年已发货'!$G:$G,I4430,'[1]2025年已发货'!$H:$H,J4430))</f>
        <v>5</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09" t="str">
        <f>VLOOKUP(B4430,辅助信息!E:J,6,FALSE)</f>
        <v>联系实际收货人（范增云13668153241）现场要求炉批号控制2个以下，超2个不给予签收。提前联系到场规格及数量</v>
      </c>
      <c r="O4430" s="62" t="str">
        <f ca="1" t="shared" si="220"/>
        <v/>
      </c>
      <c r="P4430" s="62"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5" t="s">
        <v>187</v>
      </c>
      <c r="C4431" s="70">
        <v>45944</v>
      </c>
      <c r="D4431" s="40" t="str">
        <f>VLOOKUP(B4431,辅助信息!E:K,7,FALSE)</f>
        <v>JWDDCD2025072900121</v>
      </c>
      <c r="E4431" s="40" t="str">
        <f>VLOOKUP(F4431,辅助信息!A:B,2,FALSE)</f>
        <v>螺纹钢</v>
      </c>
      <c r="F4431" s="40" t="s">
        <v>182</v>
      </c>
      <c r="G4431" s="36">
        <v>5</v>
      </c>
      <c r="H4431" s="134">
        <f>IF(SUMIFS('[1]2025年已发货'!$E:$E,'[1]2025年已发货'!$F:$F,C4431,'[1]2025年已发货'!$C:$C,F4431,'[1]2025年已发货'!$G:$G,I4431,'[1]2025年已发货'!$H:$H,J4431)=0,"未发货",SUMIFS('[1]2025年已发货'!$E:$E,'[1]2025年已发货'!$F:$F,C4431,'[1]2025年已发货'!$C:$C,F4431,'[1]2025年已发货'!$G:$G,I4431,'[1]2025年已发货'!$H:$H,J4431))</f>
        <v>5</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09" t="str">
        <f>VLOOKUP(B4431,辅助信息!E:J,6,FALSE)</f>
        <v>联系实际收货人（范增云13668153241）现场要求炉批号控制2个以下，超2个不给予签收。提前联系到场规格及数量</v>
      </c>
      <c r="O4431" s="62" t="str">
        <f ca="1" t="shared" si="220"/>
        <v/>
      </c>
      <c r="P4431" s="62"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5" t="s">
        <v>187</v>
      </c>
      <c r="C4432" s="70">
        <v>45944</v>
      </c>
      <c r="D4432" s="40" t="str">
        <f>VLOOKUP(B4432,辅助信息!E:K,7,FALSE)</f>
        <v>JWDDCD2025072900121</v>
      </c>
      <c r="E4432" s="40" t="str">
        <f>VLOOKUP(F4432,辅助信息!A:B,2,FALSE)</f>
        <v>螺纹钢</v>
      </c>
      <c r="F4432" s="40" t="s">
        <v>201</v>
      </c>
      <c r="G4432" s="36">
        <v>10</v>
      </c>
      <c r="H4432" s="134">
        <f>IF(SUMIFS('[1]2025年已发货'!$E:$E,'[1]2025年已发货'!$F:$F,C4432,'[1]2025年已发货'!$C:$C,F4432,'[1]2025年已发货'!$G:$G,I4432,'[1]2025年已发货'!$H:$H,J4432)=0,"未发货",SUMIFS('[1]2025年已发货'!$E:$E,'[1]2025年已发货'!$F:$F,C4432,'[1]2025年已发货'!$C:$C,F4432,'[1]2025年已发货'!$G:$G,I4432,'[1]2025年已发货'!$H:$H,J4432))</f>
        <v>10</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09" t="str">
        <f>VLOOKUP(B4432,辅助信息!E:J,6,FALSE)</f>
        <v>联系实际收货人（范增云13668153241）现场要求炉批号控制2个以下，超2个不给予签收。提前联系到场规格及数量</v>
      </c>
      <c r="O4432" s="62" t="str">
        <f ca="1" t="shared" si="220"/>
        <v/>
      </c>
      <c r="P4432" s="62"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5" t="s">
        <v>187</v>
      </c>
      <c r="C4433" s="70">
        <v>45944</v>
      </c>
      <c r="D4433" s="40" t="str">
        <f>VLOOKUP(B4433,辅助信息!E:K,7,FALSE)</f>
        <v>JWDDCD2025072900121</v>
      </c>
      <c r="E4433" s="40" t="str">
        <f>VLOOKUP(F4433,辅助信息!A:B,2,FALSE)</f>
        <v>盘螺</v>
      </c>
      <c r="F4433" s="40" t="s">
        <v>41</v>
      </c>
      <c r="G4433" s="36">
        <v>40</v>
      </c>
      <c r="H4433" s="134"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09" t="str">
        <f>VLOOKUP(B4433,辅助信息!E:J,6,FALSE)</f>
        <v>联系实际收货人（范增云13668153241）现场要求炉批号控制2个以下，超2个不给予签收。提前联系到场规格及数量</v>
      </c>
      <c r="O4433" s="62" t="str">
        <f ca="1" t="shared" si="220"/>
        <v/>
      </c>
      <c r="P4433" s="62"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5" t="s">
        <v>187</v>
      </c>
      <c r="C4434" s="70">
        <v>45944</v>
      </c>
      <c r="D4434" s="40" t="str">
        <f>VLOOKUP(B4434,辅助信息!E:K,7,FALSE)</f>
        <v>JWDDCD2025072900121</v>
      </c>
      <c r="E4434" s="40" t="str">
        <f>VLOOKUP(F4434,辅助信息!A:B,2,FALSE)</f>
        <v>盘螺</v>
      </c>
      <c r="F4434" s="40" t="s">
        <v>26</v>
      </c>
      <c r="G4434" s="36">
        <v>15</v>
      </c>
      <c r="H4434" s="134"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09" t="str">
        <f>VLOOKUP(B4434,辅助信息!E:J,6,FALSE)</f>
        <v>联系实际收货人（范增云13668153241）现场要求炉批号控制2个以下，超2个不给予签收。提前联系到场规格及数量</v>
      </c>
      <c r="O4434" s="62" t="str">
        <f ca="1" t="shared" si="220"/>
        <v/>
      </c>
      <c r="P4434" s="62"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5" t="s">
        <v>187</v>
      </c>
      <c r="C4435" s="70">
        <v>45944</v>
      </c>
      <c r="D4435" s="40" t="str">
        <f>VLOOKUP(B4435,辅助信息!E:K,7,FALSE)</f>
        <v>JWDDCD2025072900121</v>
      </c>
      <c r="E4435" s="40" t="str">
        <f>VLOOKUP(F4435,辅助信息!A:B,2,FALSE)</f>
        <v>盘螺</v>
      </c>
      <c r="F4435" s="40" t="s">
        <v>40</v>
      </c>
      <c r="G4435" s="36">
        <v>70</v>
      </c>
      <c r="H4435" s="134"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09" t="str">
        <f>VLOOKUP(B4435,辅助信息!E:J,6,FALSE)</f>
        <v>联系实际收货人（范增云13668153241）现场要求炉批号控制2个以下，超2个不给予签收。提前联系到场规格及数量</v>
      </c>
      <c r="O4435" s="62" t="str">
        <f ca="1" t="shared" si="220"/>
        <v/>
      </c>
      <c r="P4435" s="62"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5" t="s">
        <v>47</v>
      </c>
      <c r="C4436" s="70">
        <v>45944</v>
      </c>
      <c r="D4436" s="40" t="str">
        <f>VLOOKUP(B4436,辅助信息!E:K,7,FALSE)</f>
        <v>JWDDCD2025052800131</v>
      </c>
      <c r="E4436" s="40" t="str">
        <f>VLOOKUP(F4436,辅助信息!A:B,2,FALSE)</f>
        <v>螺纹钢</v>
      </c>
      <c r="F4436" s="40" t="s">
        <v>27</v>
      </c>
      <c r="G4436" s="36">
        <v>9</v>
      </c>
      <c r="H4436" s="134"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09" t="str">
        <f>VLOOKUP(B4436,辅助信息!E:J,6,FALSE)</f>
        <v>控制炉批号！多了现场不收！,优先安排达钢,提前联系到场规格及数量</v>
      </c>
      <c r="O4436" s="62" t="str">
        <f ca="1" t="shared" si="220"/>
        <v/>
      </c>
      <c r="P4436" s="62"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5" t="s">
        <v>47</v>
      </c>
      <c r="C4437" s="70">
        <v>45944</v>
      </c>
      <c r="D4437" s="40" t="str">
        <f>VLOOKUP(B4437,辅助信息!E:K,7,FALSE)</f>
        <v>JWDDCD2025052800131</v>
      </c>
      <c r="E4437" s="40" t="str">
        <f>VLOOKUP(F4437,辅助信息!A:B,2,FALSE)</f>
        <v>螺纹钢</v>
      </c>
      <c r="F4437" s="40" t="s">
        <v>30</v>
      </c>
      <c r="G4437" s="36">
        <v>9</v>
      </c>
      <c r="H4437" s="134"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09" t="str">
        <f>VLOOKUP(B4437,辅助信息!E:J,6,FALSE)</f>
        <v>控制炉批号！多了现场不收！,优先安排达钢,提前联系到场规格及数量</v>
      </c>
      <c r="O4437" s="62" t="str">
        <f ca="1" t="shared" si="220"/>
        <v/>
      </c>
      <c r="P4437" s="62"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5" t="s">
        <v>47</v>
      </c>
      <c r="C4438" s="70">
        <v>45944</v>
      </c>
      <c r="D4438" s="40" t="str">
        <f>VLOOKUP(B4438,辅助信息!E:K,7,FALSE)</f>
        <v>JWDDCD2025052800131</v>
      </c>
      <c r="E4438" s="40" t="str">
        <f>VLOOKUP(F4438,辅助信息!A:B,2,FALSE)</f>
        <v>螺纹钢</v>
      </c>
      <c r="F4438" s="40" t="s">
        <v>33</v>
      </c>
      <c r="G4438" s="36">
        <v>9</v>
      </c>
      <c r="H4438" s="134"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09" t="str">
        <f>VLOOKUP(B4438,辅助信息!E:J,6,FALSE)</f>
        <v>控制炉批号！多了现场不收！,优先安排达钢,提前联系到场规格及数量</v>
      </c>
      <c r="O4438" s="62" t="str">
        <f ca="1" t="shared" si="220"/>
        <v/>
      </c>
      <c r="P4438" s="62"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5" t="s">
        <v>47</v>
      </c>
      <c r="C4439" s="70">
        <v>45944</v>
      </c>
      <c r="D4439" s="40" t="str">
        <f>VLOOKUP(B4439,辅助信息!E:K,7,FALSE)</f>
        <v>JWDDCD2025052800131</v>
      </c>
      <c r="E4439" s="40" t="str">
        <f>VLOOKUP(F4439,辅助信息!A:B,2,FALSE)</f>
        <v>螺纹钢</v>
      </c>
      <c r="F4439" s="40" t="s">
        <v>18</v>
      </c>
      <c r="G4439" s="36">
        <v>9</v>
      </c>
      <c r="H4439" s="134"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09" t="str">
        <f>VLOOKUP(B4439,辅助信息!E:J,6,FALSE)</f>
        <v>控制炉批号！多了现场不收！,优先安排达钢,提前联系到场规格及数量</v>
      </c>
      <c r="O4439" s="62" t="str">
        <f ca="1" t="shared" si="220"/>
        <v/>
      </c>
      <c r="P4439" s="62"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5" t="s">
        <v>47</v>
      </c>
      <c r="C4440" s="70">
        <v>45944</v>
      </c>
      <c r="D4440" s="40" t="str">
        <f>VLOOKUP(B4440,辅助信息!E:K,7,FALSE)</f>
        <v>JWDDCD2025052800131</v>
      </c>
      <c r="E4440" s="40" t="str">
        <f>VLOOKUP(F4440,辅助信息!A:B,2,FALSE)</f>
        <v>盘螺</v>
      </c>
      <c r="F4440" s="40" t="s">
        <v>40</v>
      </c>
      <c r="G4440" s="36">
        <v>15</v>
      </c>
      <c r="H4440" s="134"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09" t="str">
        <f>VLOOKUP(B4440,辅助信息!E:J,6,FALSE)</f>
        <v>控制炉批号！多了现场不收！,优先安排达钢,提前联系到场规格及数量</v>
      </c>
      <c r="O4440" s="62" t="str">
        <f ca="1" t="shared" si="220"/>
        <v/>
      </c>
      <c r="P4440" s="62"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5" t="s">
        <v>232</v>
      </c>
      <c r="C4441" s="70">
        <v>45944</v>
      </c>
      <c r="D4441" s="40" t="str">
        <f>VLOOKUP(B4441,辅助信息!E:K,7,FALSE)</f>
        <v>JWDDCD2025052800131</v>
      </c>
      <c r="E4441" s="40" t="str">
        <f>VLOOKUP(F4441,辅助信息!A:B,2,FALSE)</f>
        <v>螺纹钢</v>
      </c>
      <c r="F4441" s="40" t="s">
        <v>27</v>
      </c>
      <c r="G4441" s="36">
        <v>9</v>
      </c>
      <c r="H4441" s="134">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09" t="str">
        <f>VLOOKUP(B4441,辅助信息!E:J,6,FALSE)</f>
        <v>控制炉批号！多了现场不收！,优先安排达钢,提前联系到场规格及数量</v>
      </c>
      <c r="O4441" s="62" t="str">
        <f ca="1" t="shared" si="220"/>
        <v/>
      </c>
      <c r="P4441" s="62"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5" t="s">
        <v>232</v>
      </c>
      <c r="C4442" s="70">
        <v>45944</v>
      </c>
      <c r="D4442" s="40" t="str">
        <f>VLOOKUP(B4442,辅助信息!E:K,7,FALSE)</f>
        <v>JWDDCD2025052800131</v>
      </c>
      <c r="E4442" s="40" t="str">
        <f>VLOOKUP(F4442,辅助信息!A:B,2,FALSE)</f>
        <v>螺纹钢</v>
      </c>
      <c r="F4442" s="40" t="s">
        <v>19</v>
      </c>
      <c r="G4442" s="36">
        <v>150</v>
      </c>
      <c r="H4442" s="134"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09" t="str">
        <f>VLOOKUP(B4442,辅助信息!E:J,6,FALSE)</f>
        <v>控制炉批号！多了现场不收！,优先安排达钢,提前联系到场规格及数量</v>
      </c>
      <c r="O4442" s="62" t="str">
        <f ca="1" t="shared" si="220"/>
        <v/>
      </c>
      <c r="P4442" s="62"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5" t="s">
        <v>232</v>
      </c>
      <c r="C4443" s="70">
        <v>45944</v>
      </c>
      <c r="D4443" s="40" t="str">
        <f>VLOOKUP(B4443,辅助信息!E:K,7,FALSE)</f>
        <v>JWDDCD2025052800131</v>
      </c>
      <c r="E4443" s="40" t="str">
        <f>VLOOKUP(F4443,辅助信息!A:B,2,FALSE)</f>
        <v>螺纹钢</v>
      </c>
      <c r="F4443" s="40" t="s">
        <v>66</v>
      </c>
      <c r="G4443" s="36">
        <v>20</v>
      </c>
      <c r="H4443" s="134">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09" t="str">
        <f>VLOOKUP(B4443,辅助信息!E:J,6,FALSE)</f>
        <v>控制炉批号！多了现场不收！,优先安排达钢,提前联系到场规格及数量</v>
      </c>
      <c r="O4443" s="62" t="str">
        <f ca="1" t="shared" si="220"/>
        <v/>
      </c>
      <c r="P4443" s="62"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5" t="s">
        <v>232</v>
      </c>
      <c r="C4444" s="70">
        <v>45944</v>
      </c>
      <c r="D4444" s="40" t="str">
        <f>VLOOKUP(B4444,辅助信息!E:K,7,FALSE)</f>
        <v>JWDDCD2025052800131</v>
      </c>
      <c r="E4444" s="40" t="str">
        <f>VLOOKUP(F4444,辅助信息!A:B,2,FALSE)</f>
        <v>螺纹钢</v>
      </c>
      <c r="F4444" s="40" t="s">
        <v>82</v>
      </c>
      <c r="G4444" s="36">
        <v>15</v>
      </c>
      <c r="H4444" s="134">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09" t="str">
        <f>VLOOKUP(B4444,辅助信息!E:J,6,FALSE)</f>
        <v>控制炉批号！多了现场不收！,优先安排达钢,提前联系到场规格及数量</v>
      </c>
      <c r="O4444" s="62" t="str">
        <f ca="1" t="shared" si="220"/>
        <v/>
      </c>
      <c r="P4444" s="62"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5" t="s">
        <v>232</v>
      </c>
      <c r="C4445" s="70">
        <v>45944</v>
      </c>
      <c r="D4445" s="40" t="str">
        <f>VLOOKUP(B4445,辅助信息!E:K,7,FALSE)</f>
        <v>JWDDCD2025052800131</v>
      </c>
      <c r="E4445" s="40" t="str">
        <f>VLOOKUP(F4445,辅助信息!A:B,2,FALSE)</f>
        <v>螺纹钢</v>
      </c>
      <c r="F4445" s="40" t="s">
        <v>45</v>
      </c>
      <c r="G4445" s="36">
        <v>20</v>
      </c>
      <c r="H4445" s="134">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09" t="str">
        <f>VLOOKUP(B4445,辅助信息!E:J,6,FALSE)</f>
        <v>控制炉批号！多了现场不收！,优先安排达钢,提前联系到场规格及数量</v>
      </c>
      <c r="O4445" s="62" t="str">
        <f ca="1" t="shared" si="220"/>
        <v/>
      </c>
      <c r="P4445" s="62"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5" t="s">
        <v>232</v>
      </c>
      <c r="C4446" s="70">
        <v>45944</v>
      </c>
      <c r="D4446" s="40" t="str">
        <f>VLOOKUP(B4446,辅助信息!E:K,7,FALSE)</f>
        <v>JWDDCD2025052800131</v>
      </c>
      <c r="E4446" s="40" t="str">
        <f>VLOOKUP(F4446,辅助信息!A:B,2,FALSE)</f>
        <v>螺纹钢</v>
      </c>
      <c r="F4446" s="40" t="s">
        <v>21</v>
      </c>
      <c r="G4446" s="36">
        <v>20</v>
      </c>
      <c r="H4446" s="134"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09" t="str">
        <f>VLOOKUP(B4446,辅助信息!E:J,6,FALSE)</f>
        <v>控制炉批号！多了现场不收！,优先安排达钢,提前联系到场规格及数量</v>
      </c>
      <c r="O4446" s="62" t="str">
        <f ca="1" t="shared" si="220"/>
        <v/>
      </c>
      <c r="P4446" s="62"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5" t="s">
        <v>232</v>
      </c>
      <c r="C4447" s="70">
        <v>45944</v>
      </c>
      <c r="D4447" s="40" t="str">
        <f>VLOOKUP(B4447,辅助信息!E:K,7,FALSE)</f>
        <v>JWDDCD2025052800131</v>
      </c>
      <c r="E4447" s="40" t="str">
        <f>VLOOKUP(F4447,辅助信息!A:B,2,FALSE)</f>
        <v>螺纹钢</v>
      </c>
      <c r="F4447" s="40" t="s">
        <v>58</v>
      </c>
      <c r="G4447" s="36">
        <v>20</v>
      </c>
      <c r="H4447" s="134"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09" t="str">
        <f>VLOOKUP(B4447,辅助信息!E:J,6,FALSE)</f>
        <v>控制炉批号！多了现场不收！,优先安排达钢,提前联系到场规格及数量</v>
      </c>
      <c r="O4447" s="62" t="str">
        <f ca="1" t="shared" si="220"/>
        <v/>
      </c>
      <c r="P4447" s="62"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5" t="s">
        <v>232</v>
      </c>
      <c r="C4448" s="70">
        <v>45944</v>
      </c>
      <c r="D4448" s="40" t="str">
        <f>VLOOKUP(B4448,辅助信息!E:K,7,FALSE)</f>
        <v>JWDDCD2025052800131</v>
      </c>
      <c r="E4448" s="40" t="str">
        <f>VLOOKUP(F4448,辅助信息!A:B,2,FALSE)</f>
        <v>螺纹钢</v>
      </c>
      <c r="F4448" s="40" t="s">
        <v>46</v>
      </c>
      <c r="G4448" s="36">
        <v>24</v>
      </c>
      <c r="H4448" s="134">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09" t="str">
        <f>VLOOKUP(B4448,辅助信息!E:J,6,FALSE)</f>
        <v>控制炉批号！多了现场不收！,优先安排达钢,提前联系到场规格及数量</v>
      </c>
      <c r="O4448" s="62" t="str">
        <f ca="1" t="shared" ref="O4448:O4511" si="222">IF(OR(M4448="",N4448&lt;&gt;""),"",MAX(M4448-TODAY(),0))</f>
        <v/>
      </c>
      <c r="P4448" s="62"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5" t="s">
        <v>232</v>
      </c>
      <c r="C4449" s="70">
        <v>45944</v>
      </c>
      <c r="D4449" s="40" t="str">
        <f>VLOOKUP(B4449,辅助信息!E:K,7,FALSE)</f>
        <v>JWDDCD2025052800131</v>
      </c>
      <c r="E4449" s="40" t="str">
        <f>VLOOKUP(F4449,辅助信息!A:B,2,FALSE)</f>
        <v>螺纹钢</v>
      </c>
      <c r="F4449" s="40" t="s">
        <v>22</v>
      </c>
      <c r="G4449" s="36">
        <v>30</v>
      </c>
      <c r="H4449" s="134">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09" t="str">
        <f>VLOOKUP(B4449,辅助信息!E:J,6,FALSE)</f>
        <v>控制炉批号！多了现场不收！,优先安排达钢,提前联系到场规格及数量</v>
      </c>
      <c r="O4449" s="62" t="str">
        <f ca="1" t="shared" si="222"/>
        <v/>
      </c>
      <c r="P4449" s="62"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5" t="s">
        <v>232</v>
      </c>
      <c r="C4450" s="70">
        <v>45944</v>
      </c>
      <c r="D4450" s="40" t="str">
        <f>VLOOKUP(B4450,辅助信息!E:K,7,FALSE)</f>
        <v>JWDDCD2025052800131</v>
      </c>
      <c r="E4450" s="40" t="str">
        <f>VLOOKUP(F4450,辅助信息!A:B,2,FALSE)</f>
        <v>螺纹钢</v>
      </c>
      <c r="F4450" s="40" t="s">
        <v>142</v>
      </c>
      <c r="G4450" s="36">
        <v>100</v>
      </c>
      <c r="H4450" s="134">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09" t="str">
        <f>VLOOKUP(B4450,辅助信息!E:J,6,FALSE)</f>
        <v>控制炉批号！多了现场不收！,优先安排达钢,提前联系到场规格及数量</v>
      </c>
      <c r="O4450" s="62" t="str">
        <f ca="1" t="shared" si="222"/>
        <v/>
      </c>
      <c r="P4450" s="62"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5" t="s">
        <v>68</v>
      </c>
      <c r="C4451" s="70">
        <v>45944</v>
      </c>
      <c r="D4451" s="40" t="str">
        <f>VLOOKUP(B4451,辅助信息!E:K,7,FALSE)</f>
        <v>JWDDCD2025052800131</v>
      </c>
      <c r="E4451" s="40" t="str">
        <f>VLOOKUP(F4451,辅助信息!A:B,2,FALSE)</f>
        <v>螺纹钢</v>
      </c>
      <c r="F4451" s="40" t="s">
        <v>30</v>
      </c>
      <c r="G4451" s="36">
        <v>20</v>
      </c>
      <c r="H4451" s="134"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09" t="str">
        <f>VLOOKUP(B4451,辅助信息!E:J,6,FALSE)</f>
        <v>控制炉批号！多了现场不收！,优先安排达钢,提前联系到场规格及数量</v>
      </c>
      <c r="O4451" s="62" t="str">
        <f ca="1" t="shared" si="222"/>
        <v/>
      </c>
      <c r="P4451" s="62"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5" t="s">
        <v>68</v>
      </c>
      <c r="C4452" s="70">
        <v>45944</v>
      </c>
      <c r="D4452" s="40" t="str">
        <f>VLOOKUP(B4452,辅助信息!E:K,7,FALSE)</f>
        <v>JWDDCD2025052800131</v>
      </c>
      <c r="E4452" s="40" t="str">
        <f>VLOOKUP(F4452,辅助信息!A:B,2,FALSE)</f>
        <v>螺纹钢</v>
      </c>
      <c r="F4452" s="40" t="s">
        <v>33</v>
      </c>
      <c r="G4452" s="36">
        <v>21</v>
      </c>
      <c r="H4452" s="134"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09" t="str">
        <f>VLOOKUP(B4452,辅助信息!E:J,6,FALSE)</f>
        <v>控制炉批号！多了现场不收！,优先安排达钢,提前联系到场规格及数量</v>
      </c>
      <c r="O4452" s="62" t="str">
        <f ca="1" t="shared" si="222"/>
        <v/>
      </c>
      <c r="P4452" s="62"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5" t="s">
        <v>68</v>
      </c>
      <c r="C4453" s="70">
        <v>45944</v>
      </c>
      <c r="D4453" s="40" t="str">
        <f>VLOOKUP(B4453,辅助信息!E:K,7,FALSE)</f>
        <v>JWDDCD2025052800131</v>
      </c>
      <c r="E4453" s="40" t="str">
        <f>VLOOKUP(F4453,辅助信息!A:B,2,FALSE)</f>
        <v>螺纹钢</v>
      </c>
      <c r="F4453" s="40" t="s">
        <v>18</v>
      </c>
      <c r="G4453" s="36">
        <v>10</v>
      </c>
      <c r="H4453" s="134"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09" t="str">
        <f>VLOOKUP(B4453,辅助信息!E:J,6,FALSE)</f>
        <v>控制炉批号！多了现场不收！,优先安排达钢,提前联系到场规格及数量</v>
      </c>
      <c r="O4453" s="62" t="str">
        <f ca="1" t="shared" si="222"/>
        <v/>
      </c>
      <c r="P4453" s="62"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5" t="s">
        <v>112</v>
      </c>
      <c r="C4454" s="70">
        <v>45944</v>
      </c>
      <c r="D4454" s="40" t="str">
        <f>VLOOKUP(B4454,辅助信息!E:K,7,FALSE)</f>
        <v>JWDDCD2025052800131</v>
      </c>
      <c r="E4454" s="40" t="str">
        <f>VLOOKUP(F4454,辅助信息!A:B,2,FALSE)</f>
        <v>螺纹钢</v>
      </c>
      <c r="F4454" s="40" t="s">
        <v>32</v>
      </c>
      <c r="G4454" s="36">
        <v>3</v>
      </c>
      <c r="H4454" s="134"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09" t="str">
        <f>VLOOKUP(B4454,辅助信息!E:J,6,FALSE)</f>
        <v>控制炉批号！多了现场不收！,优先安排达钢,提前联系到场规格及数量</v>
      </c>
      <c r="O4454" s="62" t="str">
        <f ca="1" t="shared" si="222"/>
        <v/>
      </c>
      <c r="P4454" s="62"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5" t="s">
        <v>112</v>
      </c>
      <c r="C4455" s="70">
        <v>45944</v>
      </c>
      <c r="D4455" s="40" t="str">
        <f>VLOOKUP(B4455,辅助信息!E:K,7,FALSE)</f>
        <v>JWDDCD2025052800131</v>
      </c>
      <c r="E4455" s="40" t="str">
        <f>VLOOKUP(F4455,辅助信息!A:B,2,FALSE)</f>
        <v>螺纹钢</v>
      </c>
      <c r="F4455" s="40" t="s">
        <v>21</v>
      </c>
      <c r="G4455" s="36">
        <v>12</v>
      </c>
      <c r="H4455" s="134"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09" t="str">
        <f>VLOOKUP(B4455,辅助信息!E:J,6,FALSE)</f>
        <v>控制炉批号！多了现场不收！,优先安排达钢,提前联系到场规格及数量</v>
      </c>
      <c r="O4455" s="62" t="str">
        <f ca="1" t="shared" si="222"/>
        <v/>
      </c>
      <c r="P4455" s="62"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5" t="s">
        <v>112</v>
      </c>
      <c r="C4456" s="70">
        <v>45944</v>
      </c>
      <c r="D4456" s="40" t="str">
        <f>VLOOKUP(B4456,辅助信息!E:K,7,FALSE)</f>
        <v>JWDDCD2025052800131</v>
      </c>
      <c r="E4456" s="40" t="str">
        <f>VLOOKUP(F4456,辅助信息!A:B,2,FALSE)</f>
        <v>螺纹钢</v>
      </c>
      <c r="F4456" s="40" t="s">
        <v>58</v>
      </c>
      <c r="G4456" s="36">
        <v>12</v>
      </c>
      <c r="H4456" s="134"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09" t="str">
        <f>VLOOKUP(B4456,辅助信息!E:J,6,FALSE)</f>
        <v>控制炉批号！多了现场不收！,优先安排达钢,提前联系到场规格及数量</v>
      </c>
      <c r="O4456" s="62" t="str">
        <f ca="1" t="shared" si="222"/>
        <v/>
      </c>
      <c r="P4456" s="62"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5" t="s">
        <v>112</v>
      </c>
      <c r="C4457" s="70">
        <v>45944</v>
      </c>
      <c r="D4457" s="40" t="str">
        <f>VLOOKUP(B4457,辅助信息!E:K,7,FALSE)</f>
        <v>JWDDCD2025052800131</v>
      </c>
      <c r="E4457" s="40" t="str">
        <f>VLOOKUP(F4457,辅助信息!A:B,2,FALSE)</f>
        <v>盘螺</v>
      </c>
      <c r="F4457" s="40" t="s">
        <v>49</v>
      </c>
      <c r="G4457" s="36">
        <v>12</v>
      </c>
      <c r="H4457" s="134"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09" t="str">
        <f>VLOOKUP(B4457,辅助信息!E:J,6,FALSE)</f>
        <v>控制炉批号！多了现场不收！,优先安排达钢,提前联系到场规格及数量</v>
      </c>
      <c r="O4457" s="62" t="str">
        <f ca="1" t="shared" si="222"/>
        <v/>
      </c>
      <c r="P4457" s="62"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5" t="s">
        <v>228</v>
      </c>
      <c r="C4458" s="70">
        <v>45944</v>
      </c>
      <c r="D4458" s="40" t="str">
        <f>VLOOKUP(B4458,辅助信息!E:K,7,FALSE)</f>
        <v>JWDDCD2025092400190</v>
      </c>
      <c r="E4458" s="40" t="str">
        <f>VLOOKUP(F4458,辅助信息!A:B,2,FALSE)</f>
        <v>盘螺</v>
      </c>
      <c r="F4458" s="40" t="s">
        <v>26</v>
      </c>
      <c r="G4458" s="36">
        <v>17</v>
      </c>
      <c r="H4458" s="134"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09">
        <f>VLOOKUP(B4458,辅助信息!E:J,6,FALSE)</f>
        <v>0</v>
      </c>
      <c r="O4458" s="62" t="str">
        <f ca="1" t="shared" si="222"/>
        <v/>
      </c>
      <c r="P4458" s="62"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5" t="s">
        <v>228</v>
      </c>
      <c r="C4459" s="70">
        <v>45944</v>
      </c>
      <c r="D4459" s="40" t="str">
        <f>VLOOKUP(B4459,辅助信息!E:K,7,FALSE)</f>
        <v>JWDDCD2025092400190</v>
      </c>
      <c r="E4459" s="40" t="str">
        <f>VLOOKUP(F4459,辅助信息!A:B,2,FALSE)</f>
        <v>盘螺</v>
      </c>
      <c r="F4459" s="40" t="s">
        <v>40</v>
      </c>
      <c r="G4459" s="36">
        <v>18</v>
      </c>
      <c r="H4459" s="134"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09">
        <f>VLOOKUP(B4459,辅助信息!E:J,6,FALSE)</f>
        <v>0</v>
      </c>
      <c r="O4459" s="62" t="str">
        <f ca="1" t="shared" si="222"/>
        <v/>
      </c>
      <c r="P4459" s="62"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5" t="s">
        <v>240</v>
      </c>
      <c r="C4460" s="70">
        <v>45944</v>
      </c>
      <c r="D4460" s="40" t="str">
        <f>VLOOKUP(B4460,辅助信息!E:K,7,FALSE)</f>
        <v>JWDDCD2025092400204</v>
      </c>
      <c r="E4460" s="40" t="str">
        <f>VLOOKUP(F4460,辅助信息!A:B,2,FALSE)</f>
        <v>高线</v>
      </c>
      <c r="F4460" s="40" t="s">
        <v>53</v>
      </c>
      <c r="G4460" s="36">
        <v>2.5</v>
      </c>
      <c r="H4460" s="134"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09">
        <f>VLOOKUP(B4460,辅助信息!E:J,6,FALSE)</f>
        <v>0</v>
      </c>
      <c r="O4460" s="62" t="str">
        <f ca="1" t="shared" si="222"/>
        <v/>
      </c>
      <c r="P4460" s="62"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5" t="s">
        <v>240</v>
      </c>
      <c r="C4461" s="70">
        <v>45944</v>
      </c>
      <c r="D4461" s="40" t="str">
        <f>VLOOKUP(B4461,辅助信息!E:K,7,FALSE)</f>
        <v>JWDDCD2025092400204</v>
      </c>
      <c r="E4461" s="40" t="str">
        <f>VLOOKUP(F4461,辅助信息!A:B,2,FALSE)</f>
        <v>螺纹钢</v>
      </c>
      <c r="F4461" s="40" t="s">
        <v>27</v>
      </c>
      <c r="G4461" s="36">
        <v>27</v>
      </c>
      <c r="H4461" s="134">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09">
        <f>VLOOKUP(B4461,辅助信息!E:J,6,FALSE)</f>
        <v>0</v>
      </c>
      <c r="O4461" s="62" t="str">
        <f ca="1" t="shared" si="222"/>
        <v/>
      </c>
      <c r="P4461" s="62"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5" t="s">
        <v>240</v>
      </c>
      <c r="C4462" s="70">
        <v>45944</v>
      </c>
      <c r="D4462" s="40" t="str">
        <f>VLOOKUP(B4462,辅助信息!E:K,7,FALSE)</f>
        <v>JWDDCD2025092400204</v>
      </c>
      <c r="E4462" s="40" t="str">
        <f>VLOOKUP(F4462,辅助信息!A:B,2,FALSE)</f>
        <v>螺纹钢</v>
      </c>
      <c r="F4462" s="40" t="s">
        <v>19</v>
      </c>
      <c r="G4462" s="36">
        <v>18</v>
      </c>
      <c r="H4462" s="134">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09">
        <f>VLOOKUP(B4462,辅助信息!E:J,6,FALSE)</f>
        <v>0</v>
      </c>
      <c r="O4462" s="62" t="str">
        <f ca="1" t="shared" si="222"/>
        <v/>
      </c>
      <c r="P4462" s="62"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5" t="s">
        <v>240</v>
      </c>
      <c r="C4463" s="70">
        <v>45944</v>
      </c>
      <c r="D4463" s="40" t="str">
        <f>VLOOKUP(B4463,辅助信息!E:K,7,FALSE)</f>
        <v>JWDDCD2025092400204</v>
      </c>
      <c r="E4463" s="40" t="str">
        <f>VLOOKUP(F4463,辅助信息!A:B,2,FALSE)</f>
        <v>螺纹钢</v>
      </c>
      <c r="F4463" s="40" t="s">
        <v>32</v>
      </c>
      <c r="G4463" s="36">
        <v>65</v>
      </c>
      <c r="H4463" s="134">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09">
        <f>VLOOKUP(B4463,辅助信息!E:J,6,FALSE)</f>
        <v>0</v>
      </c>
      <c r="O4463" s="62" t="str">
        <f ca="1" t="shared" si="222"/>
        <v/>
      </c>
      <c r="P4463" s="62"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5" t="s">
        <v>240</v>
      </c>
      <c r="C4464" s="70">
        <v>45944</v>
      </c>
      <c r="D4464" s="40" t="str">
        <f>VLOOKUP(B4464,辅助信息!E:K,7,FALSE)</f>
        <v>JWDDCD2025092400204</v>
      </c>
      <c r="E4464" s="40" t="str">
        <f>VLOOKUP(F4464,辅助信息!A:B,2,FALSE)</f>
        <v>螺纹钢</v>
      </c>
      <c r="F4464" s="40" t="s">
        <v>30</v>
      </c>
      <c r="G4464" s="36">
        <v>15</v>
      </c>
      <c r="H4464" s="134">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09">
        <f>VLOOKUP(B4464,辅助信息!E:J,6,FALSE)</f>
        <v>0</v>
      </c>
      <c r="O4464" s="62" t="str">
        <f ca="1" t="shared" si="222"/>
        <v/>
      </c>
      <c r="P4464" s="62"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5" t="s">
        <v>240</v>
      </c>
      <c r="C4465" s="70">
        <v>45944</v>
      </c>
      <c r="D4465" s="40" t="str">
        <f>VLOOKUP(B4465,辅助信息!E:K,7,FALSE)</f>
        <v>JWDDCD2025092400204</v>
      </c>
      <c r="E4465" s="40" t="str">
        <f>VLOOKUP(F4465,辅助信息!A:B,2,FALSE)</f>
        <v>螺纹钢</v>
      </c>
      <c r="F4465" s="40" t="s">
        <v>33</v>
      </c>
      <c r="G4465" s="36">
        <v>15</v>
      </c>
      <c r="H4465" s="134">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09">
        <f>VLOOKUP(B4465,辅助信息!E:J,6,FALSE)</f>
        <v>0</v>
      </c>
      <c r="O4465" s="62" t="str">
        <f ca="1" t="shared" si="222"/>
        <v/>
      </c>
      <c r="P4465" s="62"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5" t="s">
        <v>240</v>
      </c>
      <c r="C4466" s="70">
        <v>45944</v>
      </c>
      <c r="D4466" s="40" t="str">
        <f>VLOOKUP(B4466,辅助信息!E:K,7,FALSE)</f>
        <v>JWDDCD2025092400204</v>
      </c>
      <c r="E4466" s="40" t="str">
        <f>VLOOKUP(F4466,辅助信息!A:B,2,FALSE)</f>
        <v>螺纹钢</v>
      </c>
      <c r="F4466" s="40" t="s">
        <v>28</v>
      </c>
      <c r="G4466" s="36">
        <v>6</v>
      </c>
      <c r="H4466" s="134">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09">
        <f>VLOOKUP(B4466,辅助信息!E:J,6,FALSE)</f>
        <v>0</v>
      </c>
      <c r="O4466" s="62" t="str">
        <f ca="1" t="shared" si="222"/>
        <v/>
      </c>
      <c r="P4466" s="62"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5" t="s">
        <v>240</v>
      </c>
      <c r="C4467" s="70">
        <v>45944</v>
      </c>
      <c r="D4467" s="40" t="str">
        <f>VLOOKUP(B4467,辅助信息!E:K,7,FALSE)</f>
        <v>JWDDCD2025092400204</v>
      </c>
      <c r="E4467" s="40" t="str">
        <f>VLOOKUP(F4467,辅助信息!A:B,2,FALSE)</f>
        <v>螺纹钢</v>
      </c>
      <c r="F4467" s="40" t="s">
        <v>18</v>
      </c>
      <c r="G4467" s="36">
        <v>6</v>
      </c>
      <c r="H4467" s="134">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09">
        <f>VLOOKUP(B4467,辅助信息!E:J,6,FALSE)</f>
        <v>0</v>
      </c>
      <c r="O4467" s="62" t="str">
        <f ca="1" t="shared" si="222"/>
        <v/>
      </c>
      <c r="P4467" s="62"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5" t="s">
        <v>240</v>
      </c>
      <c r="C4468" s="70">
        <v>45944</v>
      </c>
      <c r="D4468" s="40" t="str">
        <f>VLOOKUP(B4468,辅助信息!E:K,7,FALSE)</f>
        <v>JWDDCD2025092400204</v>
      </c>
      <c r="E4468" s="40" t="str">
        <f>VLOOKUP(F4468,辅助信息!A:B,2,FALSE)</f>
        <v>盘螺</v>
      </c>
      <c r="F4468" s="40" t="s">
        <v>41</v>
      </c>
      <c r="G4468" s="36">
        <v>15</v>
      </c>
      <c r="H4468" s="134"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09">
        <f>VLOOKUP(B4468,辅助信息!E:J,6,FALSE)</f>
        <v>0</v>
      </c>
      <c r="O4468" s="62" t="str">
        <f ca="1" t="shared" si="222"/>
        <v/>
      </c>
      <c r="P4468" s="62"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5" t="s">
        <v>240</v>
      </c>
      <c r="C4469" s="70">
        <v>45944</v>
      </c>
      <c r="D4469" s="40" t="str">
        <f>VLOOKUP(B4469,辅助信息!E:K,7,FALSE)</f>
        <v>JWDDCD2025092400204</v>
      </c>
      <c r="E4469" s="40" t="str">
        <f>VLOOKUP(F4469,辅助信息!A:B,2,FALSE)</f>
        <v>盘螺</v>
      </c>
      <c r="F4469" s="40" t="s">
        <v>49</v>
      </c>
      <c r="G4469" s="36">
        <v>5</v>
      </c>
      <c r="H4469" s="134"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09">
        <f>VLOOKUP(B4469,辅助信息!E:J,6,FALSE)</f>
        <v>0</v>
      </c>
      <c r="O4469" s="62" t="str">
        <f ca="1" t="shared" si="222"/>
        <v/>
      </c>
      <c r="P4469" s="62"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5" t="s">
        <v>240</v>
      </c>
      <c r="C4470" s="70">
        <v>45944</v>
      </c>
      <c r="D4470" s="40" t="str">
        <f>VLOOKUP(B4470,辅助信息!E:K,7,FALSE)</f>
        <v>JWDDCD2025092400204</v>
      </c>
      <c r="E4470" s="40" t="str">
        <f>VLOOKUP(F4470,辅助信息!A:B,2,FALSE)</f>
        <v>盘螺</v>
      </c>
      <c r="F4470" s="40" t="s">
        <v>40</v>
      </c>
      <c r="G4470" s="36">
        <v>10</v>
      </c>
      <c r="H4470" s="134"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09">
        <f>VLOOKUP(B4470,辅助信息!E:J,6,FALSE)</f>
        <v>0</v>
      </c>
      <c r="O4470" s="62" t="str">
        <f ca="1" t="shared" si="222"/>
        <v/>
      </c>
      <c r="P4470" s="62"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5" t="s">
        <v>224</v>
      </c>
      <c r="C4471" s="70">
        <v>45944</v>
      </c>
      <c r="D4471" s="40" t="str">
        <f>VLOOKUP(B4471,辅助信息!E:K,7,FALSE)</f>
        <v>JWDDCD2025092400188</v>
      </c>
      <c r="E4471" s="40" t="str">
        <f>VLOOKUP(F4471,辅助信息!A:B,2,FALSE)</f>
        <v>盘螺</v>
      </c>
      <c r="F4471" s="40" t="s">
        <v>40</v>
      </c>
      <c r="G4471" s="36">
        <v>40</v>
      </c>
      <c r="H4471" s="134">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09">
        <f>VLOOKUP(B4471,辅助信息!E:J,6,FALSE)</f>
        <v>0</v>
      </c>
      <c r="O4471" s="62" t="str">
        <f ca="1" t="shared" si="222"/>
        <v/>
      </c>
      <c r="P4471" s="62"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5" t="s">
        <v>226</v>
      </c>
      <c r="C4472" s="70">
        <v>45944</v>
      </c>
      <c r="D4472" s="40" t="str">
        <f>VLOOKUP(B4472,辅助信息!E:K,7,FALSE)</f>
        <v>JWDDCD2025092400211</v>
      </c>
      <c r="E4472" s="40" t="str">
        <f>VLOOKUP(F4472,辅助信息!A:B,2,FALSE)</f>
        <v>盘螺</v>
      </c>
      <c r="F4472" s="40" t="s">
        <v>26</v>
      </c>
      <c r="G4472" s="36">
        <v>35</v>
      </c>
      <c r="H4472" s="134">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09">
        <f>VLOOKUP(B4472,辅助信息!E:J,6,FALSE)</f>
        <v>0</v>
      </c>
      <c r="O4472" s="62" t="str">
        <f ca="1" t="shared" si="222"/>
        <v/>
      </c>
      <c r="P4472" s="62"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5" t="s">
        <v>226</v>
      </c>
      <c r="C4473" s="70">
        <v>45944</v>
      </c>
      <c r="D4473" s="40" t="str">
        <f>VLOOKUP(B4473,辅助信息!E:K,7,FALSE)</f>
        <v>JWDDCD2025092400211</v>
      </c>
      <c r="E4473" s="40" t="str">
        <f>VLOOKUP(F4473,辅助信息!A:B,2,FALSE)</f>
        <v>盘螺</v>
      </c>
      <c r="F4473" s="40" t="s">
        <v>40</v>
      </c>
      <c r="G4473" s="36">
        <v>35</v>
      </c>
      <c r="H4473" s="134">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09">
        <f>VLOOKUP(B4473,辅助信息!E:J,6,FALSE)</f>
        <v>0</v>
      </c>
      <c r="O4473" s="62" t="str">
        <f ca="1" t="shared" si="222"/>
        <v/>
      </c>
      <c r="P4473" s="62"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5" t="s">
        <v>229</v>
      </c>
      <c r="C4474" s="70">
        <v>45944</v>
      </c>
      <c r="D4474" s="40" t="str">
        <f>VLOOKUP(B4474,辅助信息!E:K,7,FALSE)</f>
        <v>JWDDCD2025092400212</v>
      </c>
      <c r="E4474" s="40" t="str">
        <f>VLOOKUP(F4474,辅助信息!A:B,2,FALSE)</f>
        <v>螺纹钢</v>
      </c>
      <c r="F4474" s="40" t="s">
        <v>27</v>
      </c>
      <c r="G4474" s="36">
        <v>60</v>
      </c>
      <c r="H4474" s="134"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09">
        <f>VLOOKUP(B4474,辅助信息!E:J,6,FALSE)</f>
        <v>0</v>
      </c>
      <c r="O4474" s="62" t="str">
        <f ca="1" t="shared" si="222"/>
        <v/>
      </c>
      <c r="P4474" s="62"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5" t="s">
        <v>229</v>
      </c>
      <c r="C4475" s="70">
        <v>45944</v>
      </c>
      <c r="D4475" s="40" t="str">
        <f>VLOOKUP(B4475,辅助信息!E:K,7,FALSE)</f>
        <v>JWDDCD2025092400212</v>
      </c>
      <c r="E4475" s="40" t="str">
        <f>VLOOKUP(F4475,辅助信息!A:B,2,FALSE)</f>
        <v>螺纹钢</v>
      </c>
      <c r="F4475" s="40" t="s">
        <v>19</v>
      </c>
      <c r="G4475" s="36">
        <v>38</v>
      </c>
      <c r="H4475" s="134"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09">
        <f>VLOOKUP(B4475,辅助信息!E:J,6,FALSE)</f>
        <v>0</v>
      </c>
      <c r="O4475" s="62" t="str">
        <f ca="1" t="shared" si="222"/>
        <v/>
      </c>
      <c r="P4475" s="62"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5" t="s">
        <v>229</v>
      </c>
      <c r="C4476" s="70">
        <v>45944</v>
      </c>
      <c r="D4476" s="40" t="str">
        <f>VLOOKUP(B4476,辅助信息!E:K,7,FALSE)</f>
        <v>JWDDCD2025092400212</v>
      </c>
      <c r="E4476" s="40" t="str">
        <f>VLOOKUP(F4476,辅助信息!A:B,2,FALSE)</f>
        <v>螺纹钢</v>
      </c>
      <c r="F4476" s="40" t="s">
        <v>32</v>
      </c>
      <c r="G4476" s="36">
        <v>80</v>
      </c>
      <c r="H4476" s="134">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09">
        <f>VLOOKUP(B4476,辅助信息!E:J,6,FALSE)</f>
        <v>0</v>
      </c>
      <c r="O4476" s="62" t="str">
        <f ca="1" t="shared" si="222"/>
        <v/>
      </c>
      <c r="P4476" s="62"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5" t="s">
        <v>229</v>
      </c>
      <c r="C4477" s="70">
        <v>45944</v>
      </c>
      <c r="D4477" s="40" t="str">
        <f>VLOOKUP(B4477,辅助信息!E:K,7,FALSE)</f>
        <v>JWDDCD2025092400212</v>
      </c>
      <c r="E4477" s="40" t="str">
        <f>VLOOKUP(F4477,辅助信息!A:B,2,FALSE)</f>
        <v>螺纹钢</v>
      </c>
      <c r="F4477" s="40" t="s">
        <v>30</v>
      </c>
      <c r="G4477" s="36">
        <v>36</v>
      </c>
      <c r="H4477" s="134">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09">
        <f>VLOOKUP(B4477,辅助信息!E:J,6,FALSE)</f>
        <v>0</v>
      </c>
      <c r="O4477" s="62" t="str">
        <f ca="1" t="shared" si="222"/>
        <v/>
      </c>
      <c r="P4477" s="62"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5" t="s">
        <v>229</v>
      </c>
      <c r="C4478" s="70">
        <v>45944</v>
      </c>
      <c r="D4478" s="40" t="str">
        <f>VLOOKUP(B4478,辅助信息!E:K,7,FALSE)</f>
        <v>JWDDCD2025092400212</v>
      </c>
      <c r="E4478" s="40" t="str">
        <f>VLOOKUP(F4478,辅助信息!A:B,2,FALSE)</f>
        <v>螺纹钢</v>
      </c>
      <c r="F4478" s="40" t="s">
        <v>33</v>
      </c>
      <c r="G4478" s="36">
        <v>20</v>
      </c>
      <c r="H4478" s="134"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09">
        <f>VLOOKUP(B4478,辅助信息!E:J,6,FALSE)</f>
        <v>0</v>
      </c>
      <c r="O4478" s="62" t="str">
        <f ca="1" t="shared" si="222"/>
        <v/>
      </c>
      <c r="P4478" s="62"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5" t="s">
        <v>229</v>
      </c>
      <c r="C4479" s="70">
        <v>45944</v>
      </c>
      <c r="D4479" s="40" t="str">
        <f>VLOOKUP(B4479,辅助信息!E:K,7,FALSE)</f>
        <v>JWDDCD2025092400212</v>
      </c>
      <c r="E4479" s="40" t="str">
        <f>VLOOKUP(F4479,辅助信息!A:B,2,FALSE)</f>
        <v>螺纹钢</v>
      </c>
      <c r="F4479" s="40" t="s">
        <v>28</v>
      </c>
      <c r="G4479" s="36">
        <v>24</v>
      </c>
      <c r="H4479" s="134"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09">
        <f>VLOOKUP(B4479,辅助信息!E:J,6,FALSE)</f>
        <v>0</v>
      </c>
      <c r="O4479" s="62" t="str">
        <f ca="1" t="shared" si="222"/>
        <v/>
      </c>
      <c r="P4479" s="62"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5" t="s">
        <v>229</v>
      </c>
      <c r="C4480" s="70">
        <v>45944</v>
      </c>
      <c r="D4480" s="40" t="str">
        <f>VLOOKUP(B4480,辅助信息!E:K,7,FALSE)</f>
        <v>JWDDCD2025092400212</v>
      </c>
      <c r="E4480" s="40" t="str">
        <f>VLOOKUP(F4480,辅助信息!A:B,2,FALSE)</f>
        <v>螺纹钢</v>
      </c>
      <c r="F4480" s="40" t="s">
        <v>18</v>
      </c>
      <c r="G4480" s="36">
        <v>4</v>
      </c>
      <c r="H4480" s="134"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09">
        <f>VLOOKUP(B4480,辅助信息!E:J,6,FALSE)</f>
        <v>0</v>
      </c>
      <c r="O4480" s="62" t="str">
        <f ca="1" t="shared" si="222"/>
        <v/>
      </c>
      <c r="P4480" s="62"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5" t="s">
        <v>229</v>
      </c>
      <c r="C4481" s="70">
        <v>45944</v>
      </c>
      <c r="D4481" s="40" t="str">
        <f>VLOOKUP(B4481,辅助信息!E:K,7,FALSE)</f>
        <v>JWDDCD2025092400212</v>
      </c>
      <c r="E4481" s="40" t="str">
        <f>VLOOKUP(F4481,辅助信息!A:B,2,FALSE)</f>
        <v>盘螺</v>
      </c>
      <c r="F4481" s="40" t="s">
        <v>41</v>
      </c>
      <c r="G4481" s="36">
        <v>62</v>
      </c>
      <c r="H4481" s="134"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09">
        <f>VLOOKUP(B4481,辅助信息!E:J,6,FALSE)</f>
        <v>0</v>
      </c>
      <c r="O4481" s="62" t="str">
        <f ca="1" t="shared" si="222"/>
        <v/>
      </c>
      <c r="P4481" s="62"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5" t="s">
        <v>229</v>
      </c>
      <c r="C4482" s="70">
        <v>45944</v>
      </c>
      <c r="D4482" s="40" t="str">
        <f>VLOOKUP(B4482,辅助信息!E:K,7,FALSE)</f>
        <v>JWDDCD2025092400212</v>
      </c>
      <c r="E4482" s="40" t="str">
        <f>VLOOKUP(F4482,辅助信息!A:B,2,FALSE)</f>
        <v>盘螺</v>
      </c>
      <c r="F4482" s="40" t="s">
        <v>49</v>
      </c>
      <c r="G4482" s="36">
        <v>6</v>
      </c>
      <c r="H4482" s="134"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09">
        <f>VLOOKUP(B4482,辅助信息!E:J,6,FALSE)</f>
        <v>0</v>
      </c>
      <c r="O4482" s="62" t="str">
        <f ca="1" t="shared" si="222"/>
        <v/>
      </c>
      <c r="P4482" s="62"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5" t="s">
        <v>229</v>
      </c>
      <c r="C4483" s="70">
        <v>45944</v>
      </c>
      <c r="D4483" s="40" t="str">
        <f>VLOOKUP(B4483,辅助信息!E:K,7,FALSE)</f>
        <v>JWDDCD2025092400212</v>
      </c>
      <c r="E4483" s="40" t="str">
        <f>VLOOKUP(F4483,辅助信息!A:B,2,FALSE)</f>
        <v>盘螺</v>
      </c>
      <c r="F4483" s="40" t="s">
        <v>40</v>
      </c>
      <c r="G4483" s="36">
        <v>109</v>
      </c>
      <c r="H4483" s="134"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09">
        <f>VLOOKUP(B4483,辅助信息!E:J,6,FALSE)</f>
        <v>0</v>
      </c>
      <c r="O4483" s="62" t="str">
        <f ca="1" t="shared" si="222"/>
        <v/>
      </c>
      <c r="P4483" s="62"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5" t="s">
        <v>225</v>
      </c>
      <c r="C4484" s="70">
        <v>45944</v>
      </c>
      <c r="D4484" s="40" t="str">
        <f>VLOOKUP(B4484,辅助信息!E:K,7,FALSE)</f>
        <v>JWDDCD2025092400210</v>
      </c>
      <c r="E4484" s="40" t="str">
        <f>VLOOKUP(F4484,辅助信息!A:B,2,FALSE)</f>
        <v>螺纹钢</v>
      </c>
      <c r="F4484" s="40" t="s">
        <v>32</v>
      </c>
      <c r="G4484" s="36">
        <v>30</v>
      </c>
      <c r="H4484" s="134"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09">
        <f>VLOOKUP(B4484,辅助信息!E:J,6,FALSE)</f>
        <v>0</v>
      </c>
      <c r="O4484" s="62" t="str">
        <f ca="1" t="shared" si="222"/>
        <v/>
      </c>
      <c r="P4484" s="62"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5" t="s">
        <v>225</v>
      </c>
      <c r="C4485" s="70">
        <v>45944</v>
      </c>
      <c r="D4485" s="40" t="str">
        <f>VLOOKUP(B4485,辅助信息!E:K,7,FALSE)</f>
        <v>JWDDCD2025092400210</v>
      </c>
      <c r="E4485" s="40" t="str">
        <f>VLOOKUP(F4485,辅助信息!A:B,2,FALSE)</f>
        <v>螺纹钢</v>
      </c>
      <c r="F4485" s="40" t="s">
        <v>18</v>
      </c>
      <c r="G4485" s="36">
        <v>10</v>
      </c>
      <c r="H4485" s="134"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09">
        <f>VLOOKUP(B4485,辅助信息!E:J,6,FALSE)</f>
        <v>0</v>
      </c>
      <c r="O4485" s="62" t="str">
        <f ca="1" t="shared" si="222"/>
        <v/>
      </c>
      <c r="P4485" s="62"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5" t="s">
        <v>225</v>
      </c>
      <c r="C4486" s="70">
        <v>45944</v>
      </c>
      <c r="D4486" s="40" t="str">
        <f>VLOOKUP(B4486,辅助信息!E:K,7,FALSE)</f>
        <v>JWDDCD2025092400210</v>
      </c>
      <c r="E4486" s="40" t="str">
        <f>VLOOKUP(F4486,辅助信息!A:B,2,FALSE)</f>
        <v>螺纹钢</v>
      </c>
      <c r="F4486" s="40" t="s">
        <v>46</v>
      </c>
      <c r="G4486" s="36">
        <v>6</v>
      </c>
      <c r="H4486" s="134"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09">
        <f>VLOOKUP(B4486,辅助信息!E:J,6,FALSE)</f>
        <v>0</v>
      </c>
      <c r="O4486" s="62" t="str">
        <f ca="1" t="shared" si="222"/>
        <v/>
      </c>
      <c r="P4486" s="62"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5" t="s">
        <v>225</v>
      </c>
      <c r="C4487" s="70">
        <v>45944</v>
      </c>
      <c r="D4487" s="40" t="str">
        <f>VLOOKUP(B4487,辅助信息!E:K,7,FALSE)</f>
        <v>JWDDCD2025092400210</v>
      </c>
      <c r="E4487" s="40" t="str">
        <f>VLOOKUP(F4487,辅助信息!A:B,2,FALSE)</f>
        <v>盘螺</v>
      </c>
      <c r="F4487" s="40" t="s">
        <v>41</v>
      </c>
      <c r="G4487" s="36">
        <v>10</v>
      </c>
      <c r="H4487" s="134"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09">
        <f>VLOOKUP(B4487,辅助信息!E:J,6,FALSE)</f>
        <v>0</v>
      </c>
      <c r="O4487" s="62" t="str">
        <f ca="1" t="shared" si="222"/>
        <v/>
      </c>
      <c r="P4487" s="62"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5" t="s">
        <v>225</v>
      </c>
      <c r="C4488" s="70">
        <v>45944</v>
      </c>
      <c r="D4488" s="40" t="str">
        <f>VLOOKUP(B4488,辅助信息!E:K,7,FALSE)</f>
        <v>JWDDCD2025092400210</v>
      </c>
      <c r="E4488" s="40" t="str">
        <f>VLOOKUP(F4488,辅助信息!A:B,2,FALSE)</f>
        <v>盘螺</v>
      </c>
      <c r="F4488" s="40" t="s">
        <v>26</v>
      </c>
      <c r="G4488" s="36">
        <v>14</v>
      </c>
      <c r="H4488" s="134"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09">
        <f>VLOOKUP(B4488,辅助信息!E:J,6,FALSE)</f>
        <v>0</v>
      </c>
      <c r="O4488" s="62" t="str">
        <f ca="1" t="shared" si="222"/>
        <v/>
      </c>
      <c r="P4488" s="62"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5" t="s">
        <v>225</v>
      </c>
      <c r="C4489" s="70">
        <v>45944</v>
      </c>
      <c r="D4489" s="40" t="str">
        <f>VLOOKUP(B4489,辅助信息!E:K,7,FALSE)</f>
        <v>JWDDCD2025092400210</v>
      </c>
      <c r="E4489" s="40" t="str">
        <f>VLOOKUP(F4489,辅助信息!A:B,2,FALSE)</f>
        <v>盘螺</v>
      </c>
      <c r="F4489" s="40" t="s">
        <v>49</v>
      </c>
      <c r="G4489" s="36">
        <v>20</v>
      </c>
      <c r="H4489" s="134"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09">
        <f>VLOOKUP(B4489,辅助信息!E:J,6,FALSE)</f>
        <v>0</v>
      </c>
      <c r="O4489" s="62" t="str">
        <f ca="1" t="shared" si="222"/>
        <v/>
      </c>
      <c r="P4489" s="62"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5" t="s">
        <v>225</v>
      </c>
      <c r="C4490" s="70">
        <v>45944</v>
      </c>
      <c r="D4490" s="40" t="str">
        <f>VLOOKUP(B4490,辅助信息!E:K,7,FALSE)</f>
        <v>JWDDCD2025092400210</v>
      </c>
      <c r="E4490" s="40" t="str">
        <f>VLOOKUP(F4490,辅助信息!A:B,2,FALSE)</f>
        <v>盘螺</v>
      </c>
      <c r="F4490" s="40" t="s">
        <v>40</v>
      </c>
      <c r="G4490" s="36">
        <v>50</v>
      </c>
      <c r="H4490" s="134"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09">
        <f>VLOOKUP(B4490,辅助信息!E:J,6,FALSE)</f>
        <v>0</v>
      </c>
      <c r="O4490" s="62" t="str">
        <f ca="1" t="shared" si="222"/>
        <v/>
      </c>
      <c r="P4490" s="62"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5" t="s">
        <v>231</v>
      </c>
      <c r="C4491" s="70">
        <v>45944</v>
      </c>
      <c r="D4491" s="40" t="str">
        <f>VLOOKUP(B4491,辅助信息!E:K,7,FALSE)</f>
        <v>JWDDCD2025102100481</v>
      </c>
      <c r="E4491" s="40" t="str">
        <f>VLOOKUP(F4491,辅助信息!A:B,2,FALSE)</f>
        <v>螺纹钢</v>
      </c>
      <c r="F4491" s="40" t="s">
        <v>19</v>
      </c>
      <c r="G4491" s="36">
        <v>7</v>
      </c>
      <c r="H4491" s="134">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09" t="str">
        <f>VLOOKUP(B4491,辅助信息!E:J,6,FALSE)</f>
        <v>联系实际收货人（易前刚18228465067）五冶建设送货单,6份材质书,锈货不收，装货前联系收货人核实到场规格,没提前告知进场规格现场不给予接收</v>
      </c>
      <c r="O4491" s="62" t="str">
        <f ca="1" t="shared" si="222"/>
        <v/>
      </c>
      <c r="P4491" s="62"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5" t="s">
        <v>231</v>
      </c>
      <c r="C4492" s="70">
        <v>45944</v>
      </c>
      <c r="D4492" s="40" t="str">
        <f>VLOOKUP(B4492,辅助信息!E:K,7,FALSE)</f>
        <v>JWDDCD2025102100481</v>
      </c>
      <c r="E4492" s="40" t="str">
        <f>VLOOKUP(F4492,辅助信息!A:B,2,FALSE)</f>
        <v>螺纹钢</v>
      </c>
      <c r="F4492" s="40" t="s">
        <v>30</v>
      </c>
      <c r="G4492" s="36">
        <v>5</v>
      </c>
      <c r="H4492" s="134">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09" t="str">
        <f>VLOOKUP(B4492,辅助信息!E:J,6,FALSE)</f>
        <v>联系实际收货人（易前刚18228465067）五冶建设送货单,6份材质书,锈货不收，装货前联系收货人核实到场规格,没提前告知进场规格现场不给予接收</v>
      </c>
      <c r="O4492" s="62" t="str">
        <f ca="1" t="shared" si="222"/>
        <v/>
      </c>
      <c r="P4492" s="62"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5" t="s">
        <v>231</v>
      </c>
      <c r="C4493" s="70">
        <v>45944</v>
      </c>
      <c r="D4493" s="40" t="str">
        <f>VLOOKUP(B4493,辅助信息!E:K,7,FALSE)</f>
        <v>JWDDCD2025102100481</v>
      </c>
      <c r="E4493" s="40" t="str">
        <f>VLOOKUP(F4493,辅助信息!A:B,2,FALSE)</f>
        <v>螺纹钢</v>
      </c>
      <c r="F4493" s="40" t="s">
        <v>33</v>
      </c>
      <c r="G4493" s="36">
        <v>5</v>
      </c>
      <c r="H4493" s="134">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09" t="str">
        <f>VLOOKUP(B4493,辅助信息!E:J,6,FALSE)</f>
        <v>联系实际收货人（易前刚18228465067）五冶建设送货单,6份材质书,锈货不收，装货前联系收货人核实到场规格,没提前告知进场规格现场不给予接收</v>
      </c>
      <c r="O4493" s="62" t="str">
        <f ca="1" t="shared" si="222"/>
        <v/>
      </c>
      <c r="P4493" s="62"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5" t="s">
        <v>231</v>
      </c>
      <c r="C4494" s="70">
        <v>45944</v>
      </c>
      <c r="D4494" s="40" t="str">
        <f>VLOOKUP(B4494,辅助信息!E:K,7,FALSE)</f>
        <v>JWDDCD2025102100481</v>
      </c>
      <c r="E4494" s="40" t="str">
        <f>VLOOKUP(F4494,辅助信息!A:B,2,FALSE)</f>
        <v>螺纹钢</v>
      </c>
      <c r="F4494" s="40" t="s">
        <v>28</v>
      </c>
      <c r="G4494" s="36">
        <v>12.5</v>
      </c>
      <c r="H4494" s="134">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09" t="str">
        <f>VLOOKUP(B4494,辅助信息!E:J,6,FALSE)</f>
        <v>联系实际收货人（易前刚18228465067）五冶建设送货单,6份材质书,锈货不收，装货前联系收货人核实到场规格,没提前告知进场规格现场不给予接收</v>
      </c>
      <c r="O4494" s="62" t="str">
        <f ca="1" t="shared" si="222"/>
        <v/>
      </c>
      <c r="P4494" s="62"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5" t="s">
        <v>231</v>
      </c>
      <c r="C4495" s="70">
        <v>45944</v>
      </c>
      <c r="D4495" s="40" t="str">
        <f>VLOOKUP(B4495,辅助信息!E:K,7,FALSE)</f>
        <v>JWDDCD2025102100481</v>
      </c>
      <c r="E4495" s="40" t="str">
        <f>VLOOKUP(F4495,辅助信息!A:B,2,FALSE)</f>
        <v>盘螺</v>
      </c>
      <c r="F4495" s="40" t="s">
        <v>41</v>
      </c>
      <c r="G4495" s="36">
        <v>4</v>
      </c>
      <c r="H4495" s="134">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09" t="str">
        <f>VLOOKUP(B4495,辅助信息!E:J,6,FALSE)</f>
        <v>联系实际收货人（易前刚18228465067）五冶建设送货单,6份材质书,锈货不收，装货前联系收货人核实到场规格,没提前告知进场规格现场不给予接收</v>
      </c>
      <c r="O4495" s="62" t="str">
        <f ca="1" t="shared" si="222"/>
        <v/>
      </c>
      <c r="P4495" s="62"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5" t="s">
        <v>167</v>
      </c>
      <c r="C4496" s="70">
        <v>45944</v>
      </c>
      <c r="D4496" s="40" t="str">
        <f>VLOOKUP(B4496,辅助信息!E:K,7,FALSE)</f>
        <v>JWDDCD2025102100473</v>
      </c>
      <c r="E4496" s="40" t="str">
        <f>VLOOKUP(F4496,辅助信息!A:B,2,FALSE)</f>
        <v>螺纹钢</v>
      </c>
      <c r="F4496" s="40" t="s">
        <v>27</v>
      </c>
      <c r="G4496" s="36">
        <v>28</v>
      </c>
      <c r="H4496" s="134">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09"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2" t="str">
        <f ca="1" t="shared" si="222"/>
        <v/>
      </c>
      <c r="P4496" s="62"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5" t="s">
        <v>167</v>
      </c>
      <c r="C4497" s="70">
        <v>45944</v>
      </c>
      <c r="D4497" s="40" t="str">
        <f>VLOOKUP(B4497,辅助信息!E:K,7,FALSE)</f>
        <v>JWDDCD2025102100473</v>
      </c>
      <c r="E4497" s="40" t="str">
        <f>VLOOKUP(F4497,辅助信息!A:B,2,FALSE)</f>
        <v>螺纹钢</v>
      </c>
      <c r="F4497" s="40" t="s">
        <v>19</v>
      </c>
      <c r="G4497" s="36">
        <v>3</v>
      </c>
      <c r="H4497" s="134">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09"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2" t="str">
        <f ca="1" t="shared" si="222"/>
        <v/>
      </c>
      <c r="P4497" s="62"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5" t="s">
        <v>167</v>
      </c>
      <c r="C4498" s="70">
        <v>45944</v>
      </c>
      <c r="D4498" s="40" t="str">
        <f>VLOOKUP(B4498,辅助信息!E:K,7,FALSE)</f>
        <v>JWDDCD2025102100473</v>
      </c>
      <c r="E4498" s="40" t="str">
        <f>VLOOKUP(F4498,辅助信息!A:B,2,FALSE)</f>
        <v>螺纹钢</v>
      </c>
      <c r="F4498" s="40" t="s">
        <v>32</v>
      </c>
      <c r="G4498" s="36">
        <v>30</v>
      </c>
      <c r="H4498" s="134">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09"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2" t="str">
        <f ca="1" t="shared" si="222"/>
        <v/>
      </c>
      <c r="P4498" s="62"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5" t="s">
        <v>167</v>
      </c>
      <c r="C4499" s="70">
        <v>45944</v>
      </c>
      <c r="D4499" s="40" t="str">
        <f>VLOOKUP(B4499,辅助信息!E:K,7,FALSE)</f>
        <v>JWDDCD2025102100473</v>
      </c>
      <c r="E4499" s="40" t="str">
        <f>VLOOKUP(F4499,辅助信息!A:B,2,FALSE)</f>
        <v>螺纹钢</v>
      </c>
      <c r="F4499" s="40" t="s">
        <v>30</v>
      </c>
      <c r="G4499" s="36">
        <v>6</v>
      </c>
      <c r="H4499" s="134">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09"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2" t="str">
        <f ca="1" t="shared" si="222"/>
        <v/>
      </c>
      <c r="P4499" s="62"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5" t="s">
        <v>167</v>
      </c>
      <c r="C4500" s="70">
        <v>45944</v>
      </c>
      <c r="D4500" s="40" t="str">
        <f>VLOOKUP(B4500,辅助信息!E:K,7,FALSE)</f>
        <v>JWDDCD2025102100473</v>
      </c>
      <c r="E4500" s="40" t="str">
        <f>VLOOKUP(F4500,辅助信息!A:B,2,FALSE)</f>
        <v>螺纹钢</v>
      </c>
      <c r="F4500" s="40" t="s">
        <v>33</v>
      </c>
      <c r="G4500" s="36">
        <v>8</v>
      </c>
      <c r="H4500" s="134">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09"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2" t="str">
        <f ca="1" t="shared" si="222"/>
        <v/>
      </c>
      <c r="P4500" s="62"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5" t="s">
        <v>167</v>
      </c>
      <c r="C4501" s="70">
        <v>45944</v>
      </c>
      <c r="D4501" s="40" t="str">
        <f>VLOOKUP(B4501,辅助信息!E:K,7,FALSE)</f>
        <v>JWDDCD2025102100473</v>
      </c>
      <c r="E4501" s="40" t="str">
        <f>VLOOKUP(F4501,辅助信息!A:B,2,FALSE)</f>
        <v>螺纹钢</v>
      </c>
      <c r="F4501" s="40" t="s">
        <v>18</v>
      </c>
      <c r="G4501" s="36">
        <v>28</v>
      </c>
      <c r="H4501" s="134">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09"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2" t="str">
        <f ca="1" t="shared" si="222"/>
        <v/>
      </c>
      <c r="P4501" s="62"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5" t="s">
        <v>167</v>
      </c>
      <c r="C4502" s="70">
        <v>45944</v>
      </c>
      <c r="D4502" s="40" t="str">
        <f>VLOOKUP(B4502,辅助信息!E:K,7,FALSE)</f>
        <v>JWDDCD2025102100473</v>
      </c>
      <c r="E4502" s="40" t="str">
        <f>VLOOKUP(F4502,辅助信息!A:B,2,FALSE)</f>
        <v>螺纹钢</v>
      </c>
      <c r="F4502" s="40" t="s">
        <v>22</v>
      </c>
      <c r="G4502" s="36">
        <v>35</v>
      </c>
      <c r="H4502" s="134">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09"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2" t="str">
        <f ca="1" t="shared" si="222"/>
        <v/>
      </c>
      <c r="P4502" s="62"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5" t="s">
        <v>169</v>
      </c>
      <c r="C4503" s="70">
        <v>45944</v>
      </c>
      <c r="D4503" s="40" t="str">
        <f>VLOOKUP(B4503,辅助信息!E:K,7,FALSE)</f>
        <v>JWDDCD2025051800044</v>
      </c>
      <c r="E4503" s="40" t="str">
        <f>VLOOKUP(F4503,辅助信息!A:B,2,FALSE)</f>
        <v>高线</v>
      </c>
      <c r="F4503" s="40" t="s">
        <v>51</v>
      </c>
      <c r="G4503" s="36">
        <v>2.5</v>
      </c>
      <c r="H4503" s="134">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09"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2" t="str">
        <f ca="1" t="shared" si="222"/>
        <v/>
      </c>
      <c r="P4503" s="62"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5" t="s">
        <v>169</v>
      </c>
      <c r="C4504" s="70">
        <v>45944</v>
      </c>
      <c r="D4504" s="40" t="str">
        <f>VLOOKUP(B4504,辅助信息!E:K,7,FALSE)</f>
        <v>JWDDCD2025051800044</v>
      </c>
      <c r="E4504" s="40" t="str">
        <f>VLOOKUP(F4504,辅助信息!A:B,2,FALSE)</f>
        <v>螺纹钢</v>
      </c>
      <c r="F4504" s="40" t="s">
        <v>28</v>
      </c>
      <c r="G4504" s="36">
        <v>64</v>
      </c>
      <c r="H4504" s="134">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09"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2" t="str">
        <f ca="1" t="shared" si="222"/>
        <v/>
      </c>
      <c r="P4504" s="62"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5" t="s">
        <v>158</v>
      </c>
      <c r="C4505" s="70">
        <v>45944</v>
      </c>
      <c r="D4505" s="40" t="str">
        <f>VLOOKUP(B4505,辅助信息!E:K,7,FALSE)</f>
        <v>JWDDCD2025051800044</v>
      </c>
      <c r="E4505" s="40" t="str">
        <f>VLOOKUP(F4505,辅助信息!A:B,2,FALSE)</f>
        <v>螺纹钢</v>
      </c>
      <c r="F4505" s="40" t="s">
        <v>133</v>
      </c>
      <c r="G4505" s="36">
        <v>35</v>
      </c>
      <c r="H4505" s="134">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09" t="str">
        <f>VLOOKUP(B4505,辅助信息!E:J,6,FALSE)</f>
        <v>联系实际收货人（白燕军15982002377）五冶建设送货单,4份材质书,锈货不收，项目名称：中冶成勘-成都安置房项目，装货前联系收货人核实到场规格,没提前告知进场规格现场不给予接收</v>
      </c>
      <c r="O4505" s="62" t="str">
        <f ca="1" t="shared" si="222"/>
        <v/>
      </c>
      <c r="P4505" s="62"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5" t="s">
        <v>215</v>
      </c>
      <c r="C4506" s="70">
        <v>45944</v>
      </c>
      <c r="D4506" s="40" t="str">
        <f>VLOOKUP(B4506,辅助信息!E:K,7,FALSE)</f>
        <v>JWDDCD2025102100486</v>
      </c>
      <c r="E4506" s="40" t="str">
        <f>VLOOKUP(F4506,辅助信息!A:B,2,FALSE)</f>
        <v>螺纹钢</v>
      </c>
      <c r="F4506" s="40" t="s">
        <v>27</v>
      </c>
      <c r="G4506" s="36">
        <v>10</v>
      </c>
      <c r="H4506" s="134">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09" t="str">
        <f>VLOOKUP(B4506,辅助信息!E:J,6,FALSE)</f>
        <v>联系实际收货人（孙敏13617695006）五冶建设送货单,6份材质书,锈货不收，装货前联系收货人核实到场规格,没提前告知进场规格现场不给予接收</v>
      </c>
      <c r="O4506" s="62" t="str">
        <f ca="1" t="shared" si="222"/>
        <v/>
      </c>
      <c r="P4506" s="62"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5" t="s">
        <v>215</v>
      </c>
      <c r="C4507" s="70">
        <v>45944</v>
      </c>
      <c r="D4507" s="40" t="str">
        <f>VLOOKUP(B4507,辅助信息!E:K,7,FALSE)</f>
        <v>JWDDCD2025102100486</v>
      </c>
      <c r="E4507" s="40" t="str">
        <f>VLOOKUP(F4507,辅助信息!A:B,2,FALSE)</f>
        <v>螺纹钢</v>
      </c>
      <c r="F4507" s="40" t="s">
        <v>19</v>
      </c>
      <c r="G4507" s="36">
        <v>3</v>
      </c>
      <c r="H4507" s="134">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09" t="str">
        <f>VLOOKUP(B4507,辅助信息!E:J,6,FALSE)</f>
        <v>联系实际收货人（孙敏13617695006）五冶建设送货单,6份材质书,锈货不收，装货前联系收货人核实到场规格,没提前告知进场规格现场不给予接收</v>
      </c>
      <c r="O4507" s="62" t="str">
        <f ca="1" t="shared" si="222"/>
        <v/>
      </c>
      <c r="P4507" s="62"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5" t="s">
        <v>215</v>
      </c>
      <c r="C4508" s="70">
        <v>45944</v>
      </c>
      <c r="D4508" s="40" t="str">
        <f>VLOOKUP(B4508,辅助信息!E:K,7,FALSE)</f>
        <v>JWDDCD2025102100486</v>
      </c>
      <c r="E4508" s="40" t="str">
        <f>VLOOKUP(F4508,辅助信息!A:B,2,FALSE)</f>
        <v>螺纹钢</v>
      </c>
      <c r="F4508" s="40" t="s">
        <v>32</v>
      </c>
      <c r="G4508" s="36">
        <v>7</v>
      </c>
      <c r="H4508" s="134">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09" t="str">
        <f>VLOOKUP(B4508,辅助信息!E:J,6,FALSE)</f>
        <v>联系实际收货人（孙敏13617695006）五冶建设送货单,6份材质书,锈货不收，装货前联系收货人核实到场规格,没提前告知进场规格现场不给予接收</v>
      </c>
      <c r="O4508" s="62" t="str">
        <f ca="1" t="shared" si="222"/>
        <v/>
      </c>
      <c r="P4508" s="62"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5" t="s">
        <v>215</v>
      </c>
      <c r="C4509" s="70">
        <v>45944</v>
      </c>
      <c r="D4509" s="40" t="str">
        <f>VLOOKUP(B4509,辅助信息!E:K,7,FALSE)</f>
        <v>JWDDCD2025102100486</v>
      </c>
      <c r="E4509" s="40" t="str">
        <f>VLOOKUP(F4509,辅助信息!A:B,2,FALSE)</f>
        <v>螺纹钢</v>
      </c>
      <c r="F4509" s="40" t="s">
        <v>30</v>
      </c>
      <c r="G4509" s="36">
        <v>3</v>
      </c>
      <c r="H4509" s="134">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09" t="str">
        <f>VLOOKUP(B4509,辅助信息!E:J,6,FALSE)</f>
        <v>联系实际收货人（孙敏13617695006）五冶建设送货单,6份材质书,锈货不收，装货前联系收货人核实到场规格,没提前告知进场规格现场不给予接收</v>
      </c>
      <c r="O4509" s="62" t="str">
        <f ca="1" t="shared" si="222"/>
        <v/>
      </c>
      <c r="P4509" s="62"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5" t="s">
        <v>215</v>
      </c>
      <c r="C4510" s="70">
        <v>45944</v>
      </c>
      <c r="D4510" s="40" t="str">
        <f>VLOOKUP(B4510,辅助信息!E:K,7,FALSE)</f>
        <v>JWDDCD2025102100486</v>
      </c>
      <c r="E4510" s="40" t="str">
        <f>VLOOKUP(F4510,辅助信息!A:B,2,FALSE)</f>
        <v>螺纹钢</v>
      </c>
      <c r="F4510" s="40" t="s">
        <v>28</v>
      </c>
      <c r="G4510" s="36">
        <v>10</v>
      </c>
      <c r="H4510" s="134">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09" t="str">
        <f>VLOOKUP(B4510,辅助信息!E:J,6,FALSE)</f>
        <v>联系实际收货人（孙敏13617695006）五冶建设送货单,6份材质书,锈货不收，装货前联系收货人核实到场规格,没提前告知进场规格现场不给予接收</v>
      </c>
      <c r="O4510" s="62" t="str">
        <f ca="1" t="shared" si="222"/>
        <v/>
      </c>
      <c r="P4510" s="62"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5" t="s">
        <v>215</v>
      </c>
      <c r="C4511" s="70">
        <v>45944</v>
      </c>
      <c r="D4511" s="40" t="str">
        <f>VLOOKUP(B4511,辅助信息!E:K,7,FALSE)</f>
        <v>JWDDCD2025102100486</v>
      </c>
      <c r="E4511" s="40" t="str">
        <f>VLOOKUP(F4511,辅助信息!A:B,2,FALSE)</f>
        <v>螺纹钢</v>
      </c>
      <c r="F4511" s="40" t="s">
        <v>18</v>
      </c>
      <c r="G4511" s="36">
        <v>10</v>
      </c>
      <c r="H4511" s="134">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09" t="str">
        <f>VLOOKUP(B4511,辅助信息!E:J,6,FALSE)</f>
        <v>联系实际收货人（孙敏13617695006）五冶建设送货单,6份材质书,锈货不收，装货前联系收货人核实到场规格,没提前告知进场规格现场不给予接收</v>
      </c>
      <c r="O4511" s="62" t="str">
        <f ca="1" t="shared" si="222"/>
        <v/>
      </c>
      <c r="P4511" s="62"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5" t="s">
        <v>215</v>
      </c>
      <c r="C4512" s="70">
        <v>45944</v>
      </c>
      <c r="D4512" s="40" t="str">
        <f>VLOOKUP(B4512,辅助信息!E:K,7,FALSE)</f>
        <v>JWDDCD2025102100486</v>
      </c>
      <c r="E4512" s="40" t="str">
        <f>VLOOKUP(F4512,辅助信息!A:B,2,FALSE)</f>
        <v>螺纹钢</v>
      </c>
      <c r="F4512" s="40" t="s">
        <v>52</v>
      </c>
      <c r="G4512" s="36">
        <v>5</v>
      </c>
      <c r="H4512" s="134">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09" t="str">
        <f>VLOOKUP(B4512,辅助信息!E:J,6,FALSE)</f>
        <v>联系实际收货人（孙敏13617695006）五冶建设送货单,6份材质书,锈货不收，装货前联系收货人核实到场规格,没提前告知进场规格现场不给予接收</v>
      </c>
      <c r="O4512" s="62" t="str">
        <f ca="1" t="shared" ref="O4512:O4575" si="224">IF(OR(M4512="",N4512&lt;&gt;""),"",MAX(M4512-TODAY(),0))</f>
        <v/>
      </c>
      <c r="P4512" s="62"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5" t="s">
        <v>215</v>
      </c>
      <c r="C4513" s="70">
        <v>45944</v>
      </c>
      <c r="D4513" s="40" t="str">
        <f>VLOOKUP(B4513,辅助信息!E:K,7,FALSE)</f>
        <v>JWDDCD2025102100486</v>
      </c>
      <c r="E4513" s="40" t="str">
        <f>VLOOKUP(F4513,辅助信息!A:B,2,FALSE)</f>
        <v>螺纹钢</v>
      </c>
      <c r="F4513" s="40" t="s">
        <v>82</v>
      </c>
      <c r="G4513" s="36">
        <v>3</v>
      </c>
      <c r="H4513" s="134">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09" t="str">
        <f>VLOOKUP(B4513,辅助信息!E:J,6,FALSE)</f>
        <v>联系实际收货人（孙敏13617695006）五冶建设送货单,6份材质书,锈货不收，装货前联系收货人核实到场规格,没提前告知进场规格现场不给予接收</v>
      </c>
      <c r="O4513" s="62" t="str">
        <f ca="1" t="shared" si="224"/>
        <v/>
      </c>
      <c r="P4513" s="62"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5" t="s">
        <v>215</v>
      </c>
      <c r="C4514" s="70">
        <v>45944</v>
      </c>
      <c r="D4514" s="40" t="str">
        <f>VLOOKUP(B4514,辅助信息!E:K,7,FALSE)</f>
        <v>JWDDCD2025102100486</v>
      </c>
      <c r="E4514" s="40" t="str">
        <f>VLOOKUP(F4514,辅助信息!A:B,2,FALSE)</f>
        <v>螺纹钢</v>
      </c>
      <c r="F4514" s="40" t="s">
        <v>45</v>
      </c>
      <c r="G4514" s="36">
        <v>3</v>
      </c>
      <c r="H4514" s="134">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09" t="str">
        <f>VLOOKUP(B4514,辅助信息!E:J,6,FALSE)</f>
        <v>联系实际收货人（孙敏13617695006）五冶建设送货单,6份材质书,锈货不收，装货前联系收货人核实到场规格,没提前告知进场规格现场不给予接收</v>
      </c>
      <c r="O4514" s="62" t="str">
        <f ca="1" t="shared" si="224"/>
        <v/>
      </c>
      <c r="P4514" s="62"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5" t="s">
        <v>215</v>
      </c>
      <c r="C4515" s="70">
        <v>45944</v>
      </c>
      <c r="D4515" s="40" t="str">
        <f>VLOOKUP(B4515,辅助信息!E:K,7,FALSE)</f>
        <v>JWDDCD2025102100486</v>
      </c>
      <c r="E4515" s="40" t="str">
        <f>VLOOKUP(F4515,辅助信息!A:B,2,FALSE)</f>
        <v>螺纹钢</v>
      </c>
      <c r="F4515" s="40" t="s">
        <v>21</v>
      </c>
      <c r="G4515" s="36">
        <v>3</v>
      </c>
      <c r="H4515" s="134">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09" t="str">
        <f>VLOOKUP(B4515,辅助信息!E:J,6,FALSE)</f>
        <v>联系实际收货人（孙敏13617695006）五冶建设送货单,6份材质书,锈货不收，装货前联系收货人核实到场规格,没提前告知进场规格现场不给予接收</v>
      </c>
      <c r="O4515" s="62" t="str">
        <f ca="1" t="shared" si="224"/>
        <v/>
      </c>
      <c r="P4515" s="62"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5" t="s">
        <v>215</v>
      </c>
      <c r="C4516" s="70">
        <v>45944</v>
      </c>
      <c r="D4516" s="40" t="str">
        <f>VLOOKUP(B4516,辅助信息!E:K,7,FALSE)</f>
        <v>JWDDCD2025102100486</v>
      </c>
      <c r="E4516" s="40" t="str">
        <f>VLOOKUP(F4516,辅助信息!A:B,2,FALSE)</f>
        <v>螺纹钢</v>
      </c>
      <c r="F4516" s="40" t="s">
        <v>58</v>
      </c>
      <c r="G4516" s="36">
        <v>15</v>
      </c>
      <c r="H4516" s="134">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09" t="str">
        <f>VLOOKUP(B4516,辅助信息!E:J,6,FALSE)</f>
        <v>联系实际收货人（孙敏13617695006）五冶建设送货单,6份材质书,锈货不收，装货前联系收货人核实到场规格,没提前告知进场规格现场不给予接收</v>
      </c>
      <c r="O4516" s="62" t="str">
        <f ca="1" t="shared" si="224"/>
        <v/>
      </c>
      <c r="P4516" s="62"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5" t="s">
        <v>215</v>
      </c>
      <c r="C4517" s="70">
        <v>45944</v>
      </c>
      <c r="D4517" s="40" t="str">
        <f>VLOOKUP(B4517,辅助信息!E:K,7,FALSE)</f>
        <v>JWDDCD2025102100486</v>
      </c>
      <c r="E4517" s="40" t="str">
        <f>VLOOKUP(F4517,辅助信息!A:B,2,FALSE)</f>
        <v>螺纹钢</v>
      </c>
      <c r="F4517" s="40" t="s">
        <v>46</v>
      </c>
      <c r="G4517" s="36">
        <v>20</v>
      </c>
      <c r="H4517" s="134">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09" t="str">
        <f>VLOOKUP(B4517,辅助信息!E:J,6,FALSE)</f>
        <v>联系实际收货人（孙敏13617695006）五冶建设送货单,6份材质书,锈货不收，装货前联系收货人核实到场规格,没提前告知进场规格现场不给予接收</v>
      </c>
      <c r="O4517" s="62" t="str">
        <f ca="1" t="shared" si="224"/>
        <v/>
      </c>
      <c r="P4517" s="62"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5" t="s">
        <v>215</v>
      </c>
      <c r="C4518" s="70">
        <v>45944</v>
      </c>
      <c r="D4518" s="40" t="str">
        <f>VLOOKUP(B4518,辅助信息!E:K,7,FALSE)</f>
        <v>JWDDCD2025102100486</v>
      </c>
      <c r="E4518" s="40" t="str">
        <f>VLOOKUP(F4518,辅助信息!A:B,2,FALSE)</f>
        <v>螺纹钢</v>
      </c>
      <c r="F4518" s="40" t="s">
        <v>22</v>
      </c>
      <c r="G4518" s="36">
        <v>47</v>
      </c>
      <c r="H4518" s="134">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09" t="str">
        <f>VLOOKUP(B4518,辅助信息!E:J,6,FALSE)</f>
        <v>联系实际收货人（孙敏13617695006）五冶建设送货单,6份材质书,锈货不收，装货前联系收货人核实到场规格,没提前告知进场规格现场不给予接收</v>
      </c>
      <c r="O4518" s="62" t="str">
        <f ca="1" t="shared" si="224"/>
        <v/>
      </c>
      <c r="P4518" s="62"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5" t="s">
        <v>215</v>
      </c>
      <c r="C4519" s="70">
        <v>45944</v>
      </c>
      <c r="D4519" s="40" t="str">
        <f>VLOOKUP(B4519,辅助信息!E:K,7,FALSE)</f>
        <v>JWDDCD2025102100486</v>
      </c>
      <c r="E4519" s="40" t="str">
        <f>VLOOKUP(F4519,辅助信息!A:B,2,FALSE)</f>
        <v>螺纹钢</v>
      </c>
      <c r="F4519" s="40" t="s">
        <v>181</v>
      </c>
      <c r="G4519" s="36">
        <v>2</v>
      </c>
      <c r="H4519" s="134">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09" t="str">
        <f>VLOOKUP(B4519,辅助信息!E:J,6,FALSE)</f>
        <v>联系实际收货人（孙敏13617695006）五冶建设送货单,6份材质书,锈货不收，装货前联系收货人核实到场规格,没提前告知进场规格现场不给予接收</v>
      </c>
      <c r="O4519" s="62" t="str">
        <f ca="1" t="shared" si="224"/>
        <v/>
      </c>
      <c r="P4519" s="62"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5" t="s">
        <v>215</v>
      </c>
      <c r="C4520" s="70">
        <v>45944</v>
      </c>
      <c r="D4520" s="40" t="str">
        <f>VLOOKUP(B4520,辅助信息!E:K,7,FALSE)</f>
        <v>JWDDCD2025102100486</v>
      </c>
      <c r="E4520" s="40" t="str">
        <f>VLOOKUP(F4520,辅助信息!A:B,2,FALSE)</f>
        <v>盘螺</v>
      </c>
      <c r="F4520" s="40" t="s">
        <v>41</v>
      </c>
      <c r="G4520" s="36">
        <v>12</v>
      </c>
      <c r="H4520" s="134">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09" t="str">
        <f>VLOOKUP(B4520,辅助信息!E:J,6,FALSE)</f>
        <v>联系实际收货人（孙敏13617695006）五冶建设送货单,6份材质书,锈货不收，装货前联系收货人核实到场规格,没提前告知进场规格现场不给予接收</v>
      </c>
      <c r="O4520" s="62" t="str">
        <f ca="1" t="shared" si="224"/>
        <v/>
      </c>
      <c r="P4520" s="62"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5" t="s">
        <v>215</v>
      </c>
      <c r="C4521" s="70">
        <v>45944</v>
      </c>
      <c r="D4521" s="40" t="str">
        <f>VLOOKUP(B4521,辅助信息!E:K,7,FALSE)</f>
        <v>JWDDCD2025102100486</v>
      </c>
      <c r="E4521" s="40" t="str">
        <f>VLOOKUP(F4521,辅助信息!A:B,2,FALSE)</f>
        <v>盘螺</v>
      </c>
      <c r="F4521" s="40" t="s">
        <v>26</v>
      </c>
      <c r="G4521" s="36">
        <v>12</v>
      </c>
      <c r="H4521" s="134">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09" t="str">
        <f>VLOOKUP(B4521,辅助信息!E:J,6,FALSE)</f>
        <v>联系实际收货人（孙敏13617695006）五冶建设送货单,6份材质书,锈货不收，装货前联系收货人核实到场规格,没提前告知进场规格现场不给予接收</v>
      </c>
      <c r="O4521" s="62" t="str">
        <f ca="1" t="shared" si="224"/>
        <v/>
      </c>
      <c r="P4521" s="62"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5" t="s">
        <v>215</v>
      </c>
      <c r="C4522" s="70">
        <v>45944</v>
      </c>
      <c r="D4522" s="40" t="str">
        <f>VLOOKUP(B4522,辅助信息!E:K,7,FALSE)</f>
        <v>JWDDCD2025102100486</v>
      </c>
      <c r="E4522" s="40" t="str">
        <f>VLOOKUP(F4522,辅助信息!A:B,2,FALSE)</f>
        <v>盘螺</v>
      </c>
      <c r="F4522" s="40" t="s">
        <v>40</v>
      </c>
      <c r="G4522" s="36">
        <v>10</v>
      </c>
      <c r="H4522" s="134">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09" t="str">
        <f>VLOOKUP(B4522,辅助信息!E:J,6,FALSE)</f>
        <v>联系实际收货人（孙敏13617695006）五冶建设送货单,6份材质书,锈货不收，装货前联系收货人核实到场规格,没提前告知进场规格现场不给予接收</v>
      </c>
      <c r="O4522" s="62" t="str">
        <f ca="1" t="shared" si="224"/>
        <v/>
      </c>
      <c r="P4522" s="62"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5" t="s">
        <v>196</v>
      </c>
      <c r="C4523" s="70">
        <v>45944</v>
      </c>
      <c r="D4523" s="40" t="str">
        <f>VLOOKUP(B4523,辅助信息!E:K,7,FALSE)</f>
        <v>JWDDCD2025102100476</v>
      </c>
      <c r="E4523" s="40" t="str">
        <f>VLOOKUP(F4523,辅助信息!A:B,2,FALSE)</f>
        <v>螺纹钢</v>
      </c>
      <c r="F4523" s="40" t="s">
        <v>182</v>
      </c>
      <c r="G4523" s="36">
        <v>8.5</v>
      </c>
      <c r="H4523" s="134">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09"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2" t="str">
        <f ca="1" t="shared" si="224"/>
        <v/>
      </c>
      <c r="P4523" s="62"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5" t="s">
        <v>196</v>
      </c>
      <c r="C4524" s="70">
        <v>45944</v>
      </c>
      <c r="D4524" s="40" t="str">
        <f>VLOOKUP(B4524,辅助信息!E:K,7,FALSE)</f>
        <v>JWDDCD2025102100476</v>
      </c>
      <c r="E4524" s="40" t="str">
        <f>VLOOKUP(F4524,辅助信息!A:B,2,FALSE)</f>
        <v>盘螺</v>
      </c>
      <c r="F4524" s="40" t="s">
        <v>41</v>
      </c>
      <c r="G4524" s="36">
        <v>15</v>
      </c>
      <c r="H4524" s="134">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09"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2" t="str">
        <f ca="1" t="shared" si="224"/>
        <v/>
      </c>
      <c r="P4524" s="62"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5" t="s">
        <v>196</v>
      </c>
      <c r="C4525" s="70">
        <v>45944</v>
      </c>
      <c r="D4525" s="40" t="str">
        <f>VLOOKUP(B4525,辅助信息!E:K,7,FALSE)</f>
        <v>JWDDCD2025102100476</v>
      </c>
      <c r="E4525" s="40" t="str">
        <f>VLOOKUP(F4525,辅助信息!A:B,2,FALSE)</f>
        <v>盘螺</v>
      </c>
      <c r="F4525" s="40" t="s">
        <v>40</v>
      </c>
      <c r="G4525" s="36">
        <v>11.5</v>
      </c>
      <c r="H4525" s="134">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09"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2" t="str">
        <f ca="1" t="shared" si="224"/>
        <v/>
      </c>
      <c r="P4525" s="62"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5" t="s">
        <v>194</v>
      </c>
      <c r="C4526" s="70">
        <v>45944</v>
      </c>
      <c r="D4526" s="40" t="str">
        <f>VLOOKUP(B4526,辅助信息!E:K,7,FALSE)</f>
        <v>JWDD2025071500089</v>
      </c>
      <c r="E4526" s="40" t="str">
        <f>VLOOKUP(F4526,辅助信息!A:B,2,FALSE)</f>
        <v>螺纹钢</v>
      </c>
      <c r="F4526" s="40" t="s">
        <v>28</v>
      </c>
      <c r="G4526" s="36">
        <v>10</v>
      </c>
      <c r="H4526" s="134"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09" t="str">
        <f>VLOOKUP(B4526,辅助信息!E:J,6,FALSE)</f>
        <v>现场要求调度统一联系指定收货人，不单独发司机位置。锈货不收，装货前联系收货人核实到场规格,没提前告知进场规格现场不给予接收</v>
      </c>
      <c r="O4526" s="62" t="str">
        <f ca="1" t="shared" si="224"/>
        <v/>
      </c>
      <c r="P4526" s="62"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5" t="s">
        <v>194</v>
      </c>
      <c r="C4527" s="70">
        <v>45944</v>
      </c>
      <c r="D4527" s="40" t="str">
        <f>VLOOKUP(B4527,辅助信息!E:K,7,FALSE)</f>
        <v>JWDD2025071500089</v>
      </c>
      <c r="E4527" s="40" t="str">
        <f>VLOOKUP(F4527,辅助信息!A:B,2,FALSE)</f>
        <v>盘螺</v>
      </c>
      <c r="F4527" s="40" t="s">
        <v>49</v>
      </c>
      <c r="G4527" s="36">
        <v>10</v>
      </c>
      <c r="H4527" s="134"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09" t="str">
        <f>VLOOKUP(B4527,辅助信息!E:J,6,FALSE)</f>
        <v>现场要求调度统一联系指定收货人，不单独发司机位置。锈货不收，装货前联系收货人核实到场规格,没提前告知进场规格现场不给予接收</v>
      </c>
      <c r="O4527" s="62" t="str">
        <f ca="1" t="shared" si="224"/>
        <v/>
      </c>
      <c r="P4527" s="62"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5" t="s">
        <v>194</v>
      </c>
      <c r="C4528" s="70">
        <v>45944</v>
      </c>
      <c r="D4528" s="40" t="str">
        <f>VLOOKUP(B4528,辅助信息!E:K,7,FALSE)</f>
        <v>JWDD2025071500089</v>
      </c>
      <c r="E4528" s="40" t="str">
        <f>VLOOKUP(F4528,辅助信息!A:B,2,FALSE)</f>
        <v>盘螺</v>
      </c>
      <c r="F4528" s="40" t="s">
        <v>40</v>
      </c>
      <c r="G4528" s="36">
        <v>70</v>
      </c>
      <c r="H4528" s="134"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09" t="str">
        <f>VLOOKUP(B4528,辅助信息!E:J,6,FALSE)</f>
        <v>现场要求调度统一联系指定收货人，不单独发司机位置。锈货不收，装货前联系收货人核实到场规格,没提前告知进场规格现场不给予接收</v>
      </c>
      <c r="O4528" s="62" t="str">
        <f ca="1" t="shared" si="224"/>
        <v/>
      </c>
      <c r="P4528" s="62"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5" t="s">
        <v>92</v>
      </c>
      <c r="C4529" s="70">
        <v>45944</v>
      </c>
      <c r="D4529" s="40" t="str">
        <f>VLOOKUP(B4529,辅助信息!E:K,7,FALSE)</f>
        <v>JWDDCD2025051800046</v>
      </c>
      <c r="E4529" s="40" t="str">
        <f>VLOOKUP(F4529,辅助信息!A:B,2,FALSE)</f>
        <v>盘螺</v>
      </c>
      <c r="F4529" s="40" t="s">
        <v>41</v>
      </c>
      <c r="G4529" s="36">
        <v>5</v>
      </c>
      <c r="H4529" s="134">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09" t="str">
        <f>VLOOKUP(B4529,辅助信息!E:J,6,FALSE)</f>
        <v>优先威钢,我方卸车,新老国标钢厂不加价可直发</v>
      </c>
      <c r="O4529" s="62" t="str">
        <f ca="1" t="shared" si="224"/>
        <v/>
      </c>
      <c r="P4529" s="62"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6" t="s">
        <v>187</v>
      </c>
      <c r="C4530" s="70">
        <v>45945</v>
      </c>
      <c r="D4530" s="120" t="str">
        <f>VLOOKUP(B4530,辅助信息!E:K,7,FALSE)</f>
        <v>JWDDCD2025072900121</v>
      </c>
      <c r="E4530" s="120" t="str">
        <f>VLOOKUP(F4530,辅助信息!A:B,2,FALSE)</f>
        <v>螺纹钢</v>
      </c>
      <c r="F4530" s="120" t="s">
        <v>198</v>
      </c>
      <c r="G4530" s="121">
        <v>10</v>
      </c>
      <c r="H4530" s="134">
        <f>IF(SUMIFS('[1]2025年已发货'!$E:$E,'[1]2025年已发货'!$F:$F,C4530,'[1]2025年已发货'!$C:$C,F4530,'[1]2025年已发货'!$G:$G,I4530,'[1]2025年已发货'!$H:$H,J4530)=0,"未发货",SUMIFS('[1]2025年已发货'!$E:$E,'[1]2025年已发货'!$F:$F,C4530,'[1]2025年已发货'!$C:$C,F4530,'[1]2025年已发货'!$G:$G,I4530,'[1]2025年已发货'!$H:$H,J4530))</f>
        <v>10</v>
      </c>
      <c r="I4530" s="120" t="str">
        <f>VLOOKUP(B4530,辅助信息!E:I,3,FALSE)</f>
        <v>(乐山市校地共建产教融合基地建设项目一标段)四川省乐山市市中区苏稽镇周山嘴</v>
      </c>
      <c r="J4530" s="120" t="str">
        <f>VLOOKUP(B4530,辅助信息!E:I,4,FALSE)</f>
        <v>范增云</v>
      </c>
      <c r="K4530" s="120">
        <f>VLOOKUP(J4530,辅助信息!H:I,2,FALSE)</f>
        <v>13668153241</v>
      </c>
      <c r="L4530" s="122" t="str">
        <f>VLOOKUP(B4530,辅助信息!E:J,6,FALSE)</f>
        <v>联系实际收货人（范增云13668153241）现场要求炉批号控制2个以下，超2个不给予签收。提前联系到场规格及数量</v>
      </c>
      <c r="O4530" s="62" t="str">
        <f ca="1" t="shared" si="224"/>
        <v/>
      </c>
      <c r="P4530" s="62"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6" t="s">
        <v>187</v>
      </c>
      <c r="C4531" s="70">
        <v>45945</v>
      </c>
      <c r="D4531" s="120" t="str">
        <f>VLOOKUP(B4531,辅助信息!E:K,7,FALSE)</f>
        <v>JWDDCD2025072900121</v>
      </c>
      <c r="E4531" s="120" t="str">
        <f>VLOOKUP(F4531,辅助信息!A:B,2,FALSE)</f>
        <v>螺纹钢</v>
      </c>
      <c r="F4531" s="120" t="s">
        <v>199</v>
      </c>
      <c r="G4531" s="121">
        <v>10</v>
      </c>
      <c r="H4531" s="134">
        <f>IF(SUMIFS('[1]2025年已发货'!$E:$E,'[1]2025年已发货'!$F:$F,C4531,'[1]2025年已发货'!$C:$C,F4531,'[1]2025年已发货'!$G:$G,I4531,'[1]2025年已发货'!$H:$H,J4531)=0,"未发货",SUMIFS('[1]2025年已发货'!$E:$E,'[1]2025年已发货'!$F:$F,C4531,'[1]2025年已发货'!$C:$C,F4531,'[1]2025年已发货'!$G:$G,I4531,'[1]2025年已发货'!$H:$H,J4531))</f>
        <v>10</v>
      </c>
      <c r="I4531" s="120" t="str">
        <f>VLOOKUP(B4531,辅助信息!E:I,3,FALSE)</f>
        <v>(乐山市校地共建产教融合基地建设项目一标段)四川省乐山市市中区苏稽镇周山嘴</v>
      </c>
      <c r="J4531" s="120" t="str">
        <f>VLOOKUP(B4531,辅助信息!E:I,4,FALSE)</f>
        <v>范增云</v>
      </c>
      <c r="K4531" s="120">
        <f>VLOOKUP(J4531,辅助信息!H:I,2,FALSE)</f>
        <v>13668153241</v>
      </c>
      <c r="L4531" s="122" t="str">
        <f>VLOOKUP(B4531,辅助信息!E:J,6,FALSE)</f>
        <v>联系实际收货人（范增云13668153241）现场要求炉批号控制2个以下，超2个不给予签收。提前联系到场规格及数量</v>
      </c>
      <c r="O4531" s="62" t="str">
        <f ca="1" t="shared" si="224"/>
        <v/>
      </c>
      <c r="P4531" s="62"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6" t="s">
        <v>187</v>
      </c>
      <c r="C4532" s="70">
        <v>45945</v>
      </c>
      <c r="D4532" s="120" t="str">
        <f>VLOOKUP(B4532,辅助信息!E:K,7,FALSE)</f>
        <v>JWDDCD2025072900121</v>
      </c>
      <c r="E4532" s="120" t="str">
        <f>VLOOKUP(F4532,辅助信息!A:B,2,FALSE)</f>
        <v>盘螺</v>
      </c>
      <c r="F4532" s="120" t="s">
        <v>41</v>
      </c>
      <c r="G4532" s="121">
        <v>40</v>
      </c>
      <c r="H4532" s="134">
        <f>IF(SUMIFS('[1]2025年已发货'!$E:$E,'[1]2025年已发货'!$F:$F,C4532,'[1]2025年已发货'!$C:$C,F4532,'[1]2025年已发货'!$G:$G,I4532,'[1]2025年已发货'!$H:$H,J4532)=0,"未发货",SUMIFS('[1]2025年已发货'!$E:$E,'[1]2025年已发货'!$F:$F,C4532,'[1]2025年已发货'!$C:$C,F4532,'[1]2025年已发货'!$G:$G,I4532,'[1]2025年已发货'!$H:$H,J4532))</f>
        <v>40</v>
      </c>
      <c r="I4532" s="120" t="str">
        <f>VLOOKUP(B4532,辅助信息!E:I,3,FALSE)</f>
        <v>(乐山市校地共建产教融合基地建设项目一标段)四川省乐山市市中区苏稽镇周山嘴</v>
      </c>
      <c r="J4532" s="120" t="str">
        <f>VLOOKUP(B4532,辅助信息!E:I,4,FALSE)</f>
        <v>范增云</v>
      </c>
      <c r="K4532" s="120">
        <f>VLOOKUP(J4532,辅助信息!H:I,2,FALSE)</f>
        <v>13668153241</v>
      </c>
      <c r="L4532" s="122" t="str">
        <f>VLOOKUP(B4532,辅助信息!E:J,6,FALSE)</f>
        <v>联系实际收货人（范增云13668153241）现场要求炉批号控制2个以下，超2个不给予签收。提前联系到场规格及数量</v>
      </c>
      <c r="O4532" s="62" t="str">
        <f ca="1" t="shared" si="224"/>
        <v/>
      </c>
      <c r="P4532" s="62"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6" t="s">
        <v>187</v>
      </c>
      <c r="C4533" s="70">
        <v>45945</v>
      </c>
      <c r="D4533" s="120" t="str">
        <f>VLOOKUP(B4533,辅助信息!E:K,7,FALSE)</f>
        <v>JWDDCD2025072900121</v>
      </c>
      <c r="E4533" s="120" t="str">
        <f>VLOOKUP(F4533,辅助信息!A:B,2,FALSE)</f>
        <v>盘螺</v>
      </c>
      <c r="F4533" s="120" t="s">
        <v>26</v>
      </c>
      <c r="G4533" s="121">
        <v>15</v>
      </c>
      <c r="H4533" s="134">
        <f>IF(SUMIFS('[1]2025年已发货'!$E:$E,'[1]2025年已发货'!$F:$F,C4533,'[1]2025年已发货'!$C:$C,F4533,'[1]2025年已发货'!$G:$G,I4533,'[1]2025年已发货'!$H:$H,J4533)=0,"未发货",SUMIFS('[1]2025年已发货'!$E:$E,'[1]2025年已发货'!$F:$F,C4533,'[1]2025年已发货'!$C:$C,F4533,'[1]2025年已发货'!$G:$G,I4533,'[1]2025年已发货'!$H:$H,J4533))</f>
        <v>15</v>
      </c>
      <c r="I4533" s="120" t="str">
        <f>VLOOKUP(B4533,辅助信息!E:I,3,FALSE)</f>
        <v>(乐山市校地共建产教融合基地建设项目一标段)四川省乐山市市中区苏稽镇周山嘴</v>
      </c>
      <c r="J4533" s="120" t="str">
        <f>VLOOKUP(B4533,辅助信息!E:I,4,FALSE)</f>
        <v>范增云</v>
      </c>
      <c r="K4533" s="120">
        <f>VLOOKUP(J4533,辅助信息!H:I,2,FALSE)</f>
        <v>13668153241</v>
      </c>
      <c r="L4533" s="122" t="str">
        <f>VLOOKUP(B4533,辅助信息!E:J,6,FALSE)</f>
        <v>联系实际收货人（范增云13668153241）现场要求炉批号控制2个以下，超2个不给予签收。提前联系到场规格及数量</v>
      </c>
      <c r="O4533" s="62" t="str">
        <f ca="1" t="shared" si="224"/>
        <v/>
      </c>
      <c r="P4533" s="62"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6" t="s">
        <v>187</v>
      </c>
      <c r="C4534" s="70">
        <v>45945</v>
      </c>
      <c r="D4534" s="120" t="str">
        <f>VLOOKUP(B4534,辅助信息!E:K,7,FALSE)</f>
        <v>JWDDCD2025072900121</v>
      </c>
      <c r="E4534" s="120" t="str">
        <f>VLOOKUP(F4534,辅助信息!A:B,2,FALSE)</f>
        <v>盘螺</v>
      </c>
      <c r="F4534" s="120" t="s">
        <v>40</v>
      </c>
      <c r="G4534" s="121">
        <v>70</v>
      </c>
      <c r="H4534" s="134">
        <f>IF(SUMIFS('[1]2025年已发货'!$E:$E,'[1]2025年已发货'!$F:$F,C4534,'[1]2025年已发货'!$C:$C,F4534,'[1]2025年已发货'!$G:$G,I4534,'[1]2025年已发货'!$H:$H,J4534)=0,"未发货",SUMIFS('[1]2025年已发货'!$E:$E,'[1]2025年已发货'!$F:$F,C4534,'[1]2025年已发货'!$C:$C,F4534,'[1]2025年已发货'!$G:$G,I4534,'[1]2025年已发货'!$H:$H,J4534))</f>
        <v>70</v>
      </c>
      <c r="I4534" s="120" t="str">
        <f>VLOOKUP(B4534,辅助信息!E:I,3,FALSE)</f>
        <v>(乐山市校地共建产教融合基地建设项目一标段)四川省乐山市市中区苏稽镇周山嘴</v>
      </c>
      <c r="J4534" s="120" t="str">
        <f>VLOOKUP(B4534,辅助信息!E:I,4,FALSE)</f>
        <v>范增云</v>
      </c>
      <c r="K4534" s="120">
        <f>VLOOKUP(J4534,辅助信息!H:I,2,FALSE)</f>
        <v>13668153241</v>
      </c>
      <c r="L4534" s="122" t="str">
        <f>VLOOKUP(B4534,辅助信息!E:J,6,FALSE)</f>
        <v>联系实际收货人（范增云13668153241）现场要求炉批号控制2个以下，超2个不给予签收。提前联系到场规格及数量</v>
      </c>
      <c r="O4534" s="62" t="str">
        <f ca="1" t="shared" si="224"/>
        <v/>
      </c>
      <c r="P4534" s="62"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6" t="s">
        <v>47</v>
      </c>
      <c r="C4535" s="70">
        <v>45945</v>
      </c>
      <c r="D4535" s="120" t="str">
        <f>VLOOKUP(B4535,辅助信息!E:K,7,FALSE)</f>
        <v>JWDDCD2025052800131</v>
      </c>
      <c r="E4535" s="120" t="str">
        <f>VLOOKUP(F4535,辅助信息!A:B,2,FALSE)</f>
        <v>螺纹钢</v>
      </c>
      <c r="F4535" s="120" t="s">
        <v>27</v>
      </c>
      <c r="G4535" s="121">
        <v>9</v>
      </c>
      <c r="H4535" s="134">
        <f>IF(SUMIFS('[1]2025年已发货'!$E:$E,'[1]2025年已发货'!$F:$F,C4535,'[1]2025年已发货'!$C:$C,F4535,'[1]2025年已发货'!$G:$G,I4535,'[1]2025年已发货'!$H:$H,J4535)=0,"未发货",SUMIFS('[1]2025年已发货'!$E:$E,'[1]2025年已发货'!$F:$F,C4535,'[1]2025年已发货'!$C:$C,F4535,'[1]2025年已发货'!$G:$G,I4535,'[1]2025年已发货'!$H:$H,J4535))</f>
        <v>7.5</v>
      </c>
      <c r="I4535" s="120" t="str">
        <f>VLOOKUP(B4535,辅助信息!E:I,3,FALSE)</f>
        <v>（商投建工达州中医药科技园-1工区）达州市通川区达州中医药职业学院犀牛大道北段</v>
      </c>
      <c r="J4535" s="120" t="str">
        <f>VLOOKUP(B4535,辅助信息!E:I,4,FALSE)</f>
        <v>程黄刚</v>
      </c>
      <c r="K4535" s="120">
        <f>VLOOKUP(J4535,辅助信息!H:I,2,FALSE)</f>
        <v>15108211617</v>
      </c>
      <c r="L4535" s="122" t="str">
        <f>VLOOKUP(B4535,辅助信息!E:J,6,FALSE)</f>
        <v>控制炉批号！多了现场不收！,优先安排达钢,提前联系到场规格及数量</v>
      </c>
      <c r="O4535" s="62" t="str">
        <f ca="1" t="shared" si="224"/>
        <v/>
      </c>
      <c r="P4535" s="62"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6" t="s">
        <v>47</v>
      </c>
      <c r="C4536" s="70">
        <v>45945</v>
      </c>
      <c r="D4536" s="120" t="str">
        <f>VLOOKUP(B4536,辅助信息!E:K,7,FALSE)</f>
        <v>JWDDCD2025052800131</v>
      </c>
      <c r="E4536" s="120" t="str">
        <f>VLOOKUP(F4536,辅助信息!A:B,2,FALSE)</f>
        <v>螺纹钢</v>
      </c>
      <c r="F4536" s="120" t="s">
        <v>30</v>
      </c>
      <c r="G4536" s="121">
        <v>9</v>
      </c>
      <c r="H4536" s="134">
        <f>IF(SUMIFS('[1]2025年已发货'!$E:$E,'[1]2025年已发货'!$F:$F,C4536,'[1]2025年已发货'!$C:$C,F4536,'[1]2025年已发货'!$G:$G,I4536,'[1]2025年已发货'!$H:$H,J4536)=0,"未发货",SUMIFS('[1]2025年已发货'!$E:$E,'[1]2025年已发货'!$F:$F,C4536,'[1]2025年已发货'!$C:$C,F4536,'[1]2025年已发货'!$G:$G,I4536,'[1]2025年已发货'!$H:$H,J4536))</f>
        <v>7.5</v>
      </c>
      <c r="I4536" s="120" t="str">
        <f>VLOOKUP(B4536,辅助信息!E:I,3,FALSE)</f>
        <v>（商投建工达州中医药科技园-1工区）达州市通川区达州中医药职业学院犀牛大道北段</v>
      </c>
      <c r="J4536" s="120" t="str">
        <f>VLOOKUP(B4536,辅助信息!E:I,4,FALSE)</f>
        <v>程黄刚</v>
      </c>
      <c r="K4536" s="120">
        <f>VLOOKUP(J4536,辅助信息!H:I,2,FALSE)</f>
        <v>15108211617</v>
      </c>
      <c r="L4536" s="122" t="str">
        <f>VLOOKUP(B4536,辅助信息!E:J,6,FALSE)</f>
        <v>控制炉批号！多了现场不收！,优先安排达钢,提前联系到场规格及数量</v>
      </c>
      <c r="O4536" s="62" t="str">
        <f ca="1" t="shared" si="224"/>
        <v/>
      </c>
      <c r="P4536" s="62"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6" t="s">
        <v>47</v>
      </c>
      <c r="C4537" s="70">
        <v>45945</v>
      </c>
      <c r="D4537" s="120" t="str">
        <f>VLOOKUP(B4537,辅助信息!E:K,7,FALSE)</f>
        <v>JWDDCD2025052800131</v>
      </c>
      <c r="E4537" s="120" t="str">
        <f>VLOOKUP(F4537,辅助信息!A:B,2,FALSE)</f>
        <v>螺纹钢</v>
      </c>
      <c r="F4537" s="120" t="s">
        <v>33</v>
      </c>
      <c r="G4537" s="121">
        <v>9</v>
      </c>
      <c r="H4537" s="134">
        <f>IF(SUMIFS('[1]2025年已发货'!$E:$E,'[1]2025年已发货'!$F:$F,C4537,'[1]2025年已发货'!$C:$C,F4537,'[1]2025年已发货'!$G:$G,I4537,'[1]2025年已发货'!$H:$H,J4537)=0,"未发货",SUMIFS('[1]2025年已发货'!$E:$E,'[1]2025年已发货'!$F:$F,C4537,'[1]2025年已发货'!$C:$C,F4537,'[1]2025年已发货'!$G:$G,I4537,'[1]2025年已发货'!$H:$H,J4537))</f>
        <v>7.5</v>
      </c>
      <c r="I4537" s="120" t="str">
        <f>VLOOKUP(B4537,辅助信息!E:I,3,FALSE)</f>
        <v>（商投建工达州中医药科技园-1工区）达州市通川区达州中医药职业学院犀牛大道北段</v>
      </c>
      <c r="J4537" s="120" t="str">
        <f>VLOOKUP(B4537,辅助信息!E:I,4,FALSE)</f>
        <v>程黄刚</v>
      </c>
      <c r="K4537" s="120">
        <f>VLOOKUP(J4537,辅助信息!H:I,2,FALSE)</f>
        <v>15108211617</v>
      </c>
      <c r="L4537" s="122" t="str">
        <f>VLOOKUP(B4537,辅助信息!E:J,6,FALSE)</f>
        <v>控制炉批号！多了现场不收！,优先安排达钢,提前联系到场规格及数量</v>
      </c>
      <c r="O4537" s="62" t="str">
        <f ca="1" t="shared" si="224"/>
        <v/>
      </c>
      <c r="P4537" s="62"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6" t="s">
        <v>47</v>
      </c>
      <c r="C4538" s="70">
        <v>45945</v>
      </c>
      <c r="D4538" s="120" t="str">
        <f>VLOOKUP(B4538,辅助信息!E:K,7,FALSE)</f>
        <v>JWDDCD2025052800131</v>
      </c>
      <c r="E4538" s="120" t="str">
        <f>VLOOKUP(F4538,辅助信息!A:B,2,FALSE)</f>
        <v>螺纹钢</v>
      </c>
      <c r="F4538" s="120" t="s">
        <v>18</v>
      </c>
      <c r="G4538" s="121">
        <v>9</v>
      </c>
      <c r="H4538" s="134">
        <f>IF(SUMIFS('[1]2025年已发货'!$E:$E,'[1]2025年已发货'!$F:$F,C4538,'[1]2025年已发货'!$C:$C,F4538,'[1]2025年已发货'!$G:$G,I4538,'[1]2025年已发货'!$H:$H,J4538)=0,"未发货",SUMIFS('[1]2025年已发货'!$E:$E,'[1]2025年已发货'!$F:$F,C4538,'[1]2025年已发货'!$C:$C,F4538,'[1]2025年已发货'!$G:$G,I4538,'[1]2025年已发货'!$H:$H,J4538))</f>
        <v>7.5</v>
      </c>
      <c r="I4538" s="120" t="str">
        <f>VLOOKUP(B4538,辅助信息!E:I,3,FALSE)</f>
        <v>（商投建工达州中医药科技园-1工区）达州市通川区达州中医药职业学院犀牛大道北段</v>
      </c>
      <c r="J4538" s="120" t="str">
        <f>VLOOKUP(B4538,辅助信息!E:I,4,FALSE)</f>
        <v>程黄刚</v>
      </c>
      <c r="K4538" s="120">
        <f>VLOOKUP(J4538,辅助信息!H:I,2,FALSE)</f>
        <v>15108211617</v>
      </c>
      <c r="L4538" s="122" t="str">
        <f>VLOOKUP(B4538,辅助信息!E:J,6,FALSE)</f>
        <v>控制炉批号！多了现场不收！,优先安排达钢,提前联系到场规格及数量</v>
      </c>
      <c r="O4538" s="62" t="str">
        <f ca="1" t="shared" si="224"/>
        <v/>
      </c>
      <c r="P4538" s="62"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6" t="s">
        <v>47</v>
      </c>
      <c r="C4539" s="70">
        <v>45945</v>
      </c>
      <c r="D4539" s="120" t="str">
        <f>VLOOKUP(B4539,辅助信息!E:K,7,FALSE)</f>
        <v>JWDDCD2025052800131</v>
      </c>
      <c r="E4539" s="120" t="str">
        <f>VLOOKUP(F4539,辅助信息!A:B,2,FALSE)</f>
        <v>盘螺</v>
      </c>
      <c r="F4539" s="120" t="s">
        <v>40</v>
      </c>
      <c r="G4539" s="121">
        <v>15</v>
      </c>
      <c r="H4539" s="134">
        <f>IF(SUMIFS('[1]2025年已发货'!$E:$E,'[1]2025年已发货'!$F:$F,C4539,'[1]2025年已发货'!$C:$C,F4539,'[1]2025年已发货'!$G:$G,I4539,'[1]2025年已发货'!$H:$H,J4539)=0,"未发货",SUMIFS('[1]2025年已发货'!$E:$E,'[1]2025年已发货'!$F:$F,C4539,'[1]2025年已发货'!$C:$C,F4539,'[1]2025年已发货'!$G:$G,I4539,'[1]2025年已发货'!$H:$H,J4539))</f>
        <v>5</v>
      </c>
      <c r="I4539" s="120" t="str">
        <f>VLOOKUP(B4539,辅助信息!E:I,3,FALSE)</f>
        <v>（商投建工达州中医药科技园-1工区）达州市通川区达州中医药职业学院犀牛大道北段</v>
      </c>
      <c r="J4539" s="120" t="str">
        <f>VLOOKUP(B4539,辅助信息!E:I,4,FALSE)</f>
        <v>程黄刚</v>
      </c>
      <c r="K4539" s="120">
        <f>VLOOKUP(J4539,辅助信息!H:I,2,FALSE)</f>
        <v>15108211617</v>
      </c>
      <c r="L4539" s="122" t="str">
        <f>VLOOKUP(B4539,辅助信息!E:J,6,FALSE)</f>
        <v>控制炉批号！多了现场不收！,优先安排达钢,提前联系到场规格及数量</v>
      </c>
      <c r="O4539" s="62" t="str">
        <f ca="1" t="shared" si="224"/>
        <v/>
      </c>
      <c r="P4539" s="62"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6" t="s">
        <v>232</v>
      </c>
      <c r="C4540" s="70">
        <v>45945</v>
      </c>
      <c r="D4540" s="120" t="str">
        <f>VLOOKUP(B4540,辅助信息!E:K,7,FALSE)</f>
        <v>JWDDCD2025052800131</v>
      </c>
      <c r="E4540" s="120" t="str">
        <f>VLOOKUP(F4540,辅助信息!A:B,2,FALSE)</f>
        <v>螺纹钢</v>
      </c>
      <c r="F4540" s="120" t="s">
        <v>19</v>
      </c>
      <c r="G4540" s="121">
        <v>150</v>
      </c>
      <c r="H4540" s="134">
        <f>IF(SUMIFS('[1]2025年已发货'!$E:$E,'[1]2025年已发货'!$F:$F,C4540,'[1]2025年已发货'!$C:$C,F4540,'[1]2025年已发货'!$G:$G,I4540,'[1]2025年已发货'!$H:$H,J4540)=0,"未发货",SUMIFS('[1]2025年已发货'!$E:$E,'[1]2025年已发货'!$F:$F,C4540,'[1]2025年已发货'!$C:$C,F4540,'[1]2025年已发货'!$G:$G,I4540,'[1]2025年已发货'!$H:$H,J4540))</f>
        <v>150</v>
      </c>
      <c r="I4540" s="120" t="str">
        <f>VLOOKUP(B4540,辅助信息!E:I,3,FALSE)</f>
        <v>（商投建工达州中医药科技园-2工区-2号桥）达州市通川区达州中医药职业学院犀牛大道北段</v>
      </c>
      <c r="J4540" s="120" t="str">
        <f>VLOOKUP(B4540,辅助信息!E:I,4,FALSE)</f>
        <v>李波</v>
      </c>
      <c r="K4540" s="120">
        <f>VLOOKUP(J4540,辅助信息!H:I,2,FALSE)</f>
        <v>18381899787</v>
      </c>
      <c r="L4540" s="122" t="str">
        <f>VLOOKUP(B4540,辅助信息!E:J,6,FALSE)</f>
        <v>控制炉批号！多了现场不收！,优先安排达钢,提前联系到场规格及数量</v>
      </c>
      <c r="O4540" s="62" t="str">
        <f ca="1" t="shared" si="224"/>
        <v/>
      </c>
      <c r="P4540" s="62"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6" t="s">
        <v>232</v>
      </c>
      <c r="C4541" s="70">
        <v>45945</v>
      </c>
      <c r="D4541" s="120" t="str">
        <f>VLOOKUP(B4541,辅助信息!E:K,7,FALSE)</f>
        <v>JWDDCD2025052800131</v>
      </c>
      <c r="E4541" s="120" t="str">
        <f>VLOOKUP(F4541,辅助信息!A:B,2,FALSE)</f>
        <v>螺纹钢</v>
      </c>
      <c r="F4541" s="120" t="s">
        <v>21</v>
      </c>
      <c r="G4541" s="121">
        <v>20</v>
      </c>
      <c r="H4541" s="134"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0" t="str">
        <f>VLOOKUP(B4541,辅助信息!E:I,3,FALSE)</f>
        <v>（商投建工达州中医药科技园-2工区-2号桥）达州市通川区达州中医药职业学院犀牛大道北段</v>
      </c>
      <c r="J4541" s="120" t="str">
        <f>VLOOKUP(B4541,辅助信息!E:I,4,FALSE)</f>
        <v>李波</v>
      </c>
      <c r="K4541" s="120">
        <f>VLOOKUP(J4541,辅助信息!H:I,2,FALSE)</f>
        <v>18381899787</v>
      </c>
      <c r="L4541" s="122" t="str">
        <f>VLOOKUP(B4541,辅助信息!E:J,6,FALSE)</f>
        <v>控制炉批号！多了现场不收！,优先安排达钢,提前联系到场规格及数量</v>
      </c>
      <c r="O4541" s="62" t="str">
        <f ca="1" t="shared" si="224"/>
        <v/>
      </c>
      <c r="P4541" s="62"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6" t="s">
        <v>232</v>
      </c>
      <c r="C4542" s="70">
        <v>45945</v>
      </c>
      <c r="D4542" s="120" t="str">
        <f>VLOOKUP(B4542,辅助信息!E:K,7,FALSE)</f>
        <v>JWDDCD2025052800131</v>
      </c>
      <c r="E4542" s="120" t="str">
        <f>VLOOKUP(F4542,辅助信息!A:B,2,FALSE)</f>
        <v>螺纹钢</v>
      </c>
      <c r="F4542" s="120" t="s">
        <v>58</v>
      </c>
      <c r="G4542" s="121">
        <v>20</v>
      </c>
      <c r="H4542" s="134"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0" t="str">
        <f>VLOOKUP(B4542,辅助信息!E:I,3,FALSE)</f>
        <v>（商投建工达州中医药科技园-2工区-2号桥）达州市通川区达州中医药职业学院犀牛大道北段</v>
      </c>
      <c r="J4542" s="120" t="str">
        <f>VLOOKUP(B4542,辅助信息!E:I,4,FALSE)</f>
        <v>李波</v>
      </c>
      <c r="K4542" s="120">
        <f>VLOOKUP(J4542,辅助信息!H:I,2,FALSE)</f>
        <v>18381899787</v>
      </c>
      <c r="L4542" s="122" t="str">
        <f>VLOOKUP(B4542,辅助信息!E:J,6,FALSE)</f>
        <v>控制炉批号！多了现场不收！,优先安排达钢,提前联系到场规格及数量</v>
      </c>
      <c r="O4542" s="62" t="str">
        <f ca="1" t="shared" si="224"/>
        <v/>
      </c>
      <c r="P4542" s="62"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6" t="s">
        <v>68</v>
      </c>
      <c r="C4543" s="70">
        <v>45945</v>
      </c>
      <c r="D4543" s="120" t="str">
        <f>VLOOKUP(B4543,辅助信息!E:K,7,FALSE)</f>
        <v>JWDDCD2025052800131</v>
      </c>
      <c r="E4543" s="120" t="str">
        <f>VLOOKUP(F4543,辅助信息!A:B,2,FALSE)</f>
        <v>螺纹钢</v>
      </c>
      <c r="F4543" s="120" t="s">
        <v>30</v>
      </c>
      <c r="G4543" s="121">
        <v>20</v>
      </c>
      <c r="H4543" s="134"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0" t="str">
        <f>VLOOKUP(B4543,辅助信息!E:I,3,FALSE)</f>
        <v>（商投建工达州中医药科技园-2工区-景观桥）达州市通川区达州中医药职业学院犀牛大道北段</v>
      </c>
      <c r="J4543" s="120" t="str">
        <f>VLOOKUP(B4543,辅助信息!E:I,4,FALSE)</f>
        <v>李波</v>
      </c>
      <c r="K4543" s="120">
        <f>VLOOKUP(J4543,辅助信息!H:I,2,FALSE)</f>
        <v>18381899787</v>
      </c>
      <c r="L4543" s="122" t="str">
        <f>VLOOKUP(B4543,辅助信息!E:J,6,FALSE)</f>
        <v>控制炉批号！多了现场不收！,优先安排达钢,提前联系到场规格及数量</v>
      </c>
      <c r="O4543" s="62" t="str">
        <f ca="1" t="shared" si="224"/>
        <v/>
      </c>
      <c r="P4543" s="62"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6" t="s">
        <v>68</v>
      </c>
      <c r="C4544" s="70">
        <v>45945</v>
      </c>
      <c r="D4544" s="120" t="str">
        <f>VLOOKUP(B4544,辅助信息!E:K,7,FALSE)</f>
        <v>JWDDCD2025052800131</v>
      </c>
      <c r="E4544" s="120" t="str">
        <f>VLOOKUP(F4544,辅助信息!A:B,2,FALSE)</f>
        <v>螺纹钢</v>
      </c>
      <c r="F4544" s="120" t="s">
        <v>33</v>
      </c>
      <c r="G4544" s="121">
        <v>21</v>
      </c>
      <c r="H4544" s="134"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0" t="str">
        <f>VLOOKUP(B4544,辅助信息!E:I,3,FALSE)</f>
        <v>（商投建工达州中医药科技园-2工区-景观桥）达州市通川区达州中医药职业学院犀牛大道北段</v>
      </c>
      <c r="J4544" s="120" t="str">
        <f>VLOOKUP(B4544,辅助信息!E:I,4,FALSE)</f>
        <v>李波</v>
      </c>
      <c r="K4544" s="120">
        <f>VLOOKUP(J4544,辅助信息!H:I,2,FALSE)</f>
        <v>18381899787</v>
      </c>
      <c r="L4544" s="122" t="str">
        <f>VLOOKUP(B4544,辅助信息!E:J,6,FALSE)</f>
        <v>控制炉批号！多了现场不收！,优先安排达钢,提前联系到场规格及数量</v>
      </c>
      <c r="O4544" s="62" t="str">
        <f ca="1" t="shared" si="224"/>
        <v/>
      </c>
      <c r="P4544" s="62"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6" t="s">
        <v>68</v>
      </c>
      <c r="C4545" s="70">
        <v>45945</v>
      </c>
      <c r="D4545" s="120" t="str">
        <f>VLOOKUP(B4545,辅助信息!E:K,7,FALSE)</f>
        <v>JWDDCD2025052800131</v>
      </c>
      <c r="E4545" s="120" t="str">
        <f>VLOOKUP(F4545,辅助信息!A:B,2,FALSE)</f>
        <v>螺纹钢</v>
      </c>
      <c r="F4545" s="120" t="s">
        <v>18</v>
      </c>
      <c r="G4545" s="121">
        <v>10</v>
      </c>
      <c r="H4545" s="134"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0" t="str">
        <f>VLOOKUP(B4545,辅助信息!E:I,3,FALSE)</f>
        <v>（商投建工达州中医药科技园-2工区-景观桥）达州市通川区达州中医药职业学院犀牛大道北段</v>
      </c>
      <c r="J4545" s="120" t="str">
        <f>VLOOKUP(B4545,辅助信息!E:I,4,FALSE)</f>
        <v>李波</v>
      </c>
      <c r="K4545" s="120">
        <f>VLOOKUP(J4545,辅助信息!H:I,2,FALSE)</f>
        <v>18381899787</v>
      </c>
      <c r="L4545" s="122" t="str">
        <f>VLOOKUP(B4545,辅助信息!E:J,6,FALSE)</f>
        <v>控制炉批号！多了现场不收！,优先安排达钢,提前联系到场规格及数量</v>
      </c>
      <c r="O4545" s="62" t="str">
        <f ca="1" t="shared" si="224"/>
        <v/>
      </c>
      <c r="P4545" s="62"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6" t="s">
        <v>112</v>
      </c>
      <c r="C4546" s="70">
        <v>45945</v>
      </c>
      <c r="D4546" s="120" t="str">
        <f>VLOOKUP(B4546,辅助信息!E:K,7,FALSE)</f>
        <v>JWDDCD2025052800131</v>
      </c>
      <c r="E4546" s="120" t="str">
        <f>VLOOKUP(F4546,辅助信息!A:B,2,FALSE)</f>
        <v>螺纹钢</v>
      </c>
      <c r="F4546" s="120" t="s">
        <v>32</v>
      </c>
      <c r="G4546" s="121">
        <v>3</v>
      </c>
      <c r="H4546" s="134">
        <f>IF(SUMIFS('[1]2025年已发货'!$E:$E,'[1]2025年已发货'!$F:$F,C4546,'[1]2025年已发货'!$C:$C,F4546,'[1]2025年已发货'!$G:$G,I4546,'[1]2025年已发货'!$H:$H,J4546)=0,"未发货",SUMIFS('[1]2025年已发货'!$E:$E,'[1]2025年已发货'!$F:$F,C4546,'[1]2025年已发货'!$C:$C,F4546,'[1]2025年已发货'!$G:$G,I4546,'[1]2025年已发货'!$H:$H,J4546))</f>
        <v>3</v>
      </c>
      <c r="I4546" s="120" t="str">
        <f>VLOOKUP(B4546,辅助信息!E:I,3,FALSE)</f>
        <v>（商投建工达州中医药科技园-4工区-10号楼）达州市通川区达州中医药职业学院犀牛大道北段</v>
      </c>
      <c r="J4546" s="120" t="str">
        <f>VLOOKUP(B4546,辅助信息!E:I,4,FALSE)</f>
        <v>张扬</v>
      </c>
      <c r="K4546" s="120">
        <f>VLOOKUP(J4546,辅助信息!H:I,2,FALSE)</f>
        <v>18381904567</v>
      </c>
      <c r="L4546" s="122" t="str">
        <f>VLOOKUP(B4546,辅助信息!E:J,6,FALSE)</f>
        <v>控制炉批号！多了现场不收！,优先安排达钢,提前联系到场规格及数量</v>
      </c>
      <c r="O4546" s="62" t="str">
        <f ca="1" t="shared" si="224"/>
        <v/>
      </c>
      <c r="P4546" s="62"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6" t="s">
        <v>112</v>
      </c>
      <c r="C4547" s="70">
        <v>45945</v>
      </c>
      <c r="D4547" s="120" t="str">
        <f>VLOOKUP(B4547,辅助信息!E:K,7,FALSE)</f>
        <v>JWDDCD2025052800131</v>
      </c>
      <c r="E4547" s="120" t="str">
        <f>VLOOKUP(F4547,辅助信息!A:B,2,FALSE)</f>
        <v>螺纹钢</v>
      </c>
      <c r="F4547" s="120" t="s">
        <v>21</v>
      </c>
      <c r="G4547" s="121">
        <v>12</v>
      </c>
      <c r="H4547" s="134">
        <f>IF(SUMIFS('[1]2025年已发货'!$E:$E,'[1]2025年已发货'!$F:$F,C4547,'[1]2025年已发货'!$C:$C,F4547,'[1]2025年已发货'!$G:$G,I4547,'[1]2025年已发货'!$H:$H,J4547)=0,"未发货",SUMIFS('[1]2025年已发货'!$E:$E,'[1]2025年已发货'!$F:$F,C4547,'[1]2025年已发货'!$C:$C,F4547,'[1]2025年已发货'!$G:$G,I4547,'[1]2025年已发货'!$H:$H,J4547))</f>
        <v>10</v>
      </c>
      <c r="I4547" s="120" t="str">
        <f>VLOOKUP(B4547,辅助信息!E:I,3,FALSE)</f>
        <v>（商投建工达州中医药科技园-4工区-10号楼）达州市通川区达州中医药职业学院犀牛大道北段</v>
      </c>
      <c r="J4547" s="120" t="str">
        <f>VLOOKUP(B4547,辅助信息!E:I,4,FALSE)</f>
        <v>张扬</v>
      </c>
      <c r="K4547" s="120">
        <f>VLOOKUP(J4547,辅助信息!H:I,2,FALSE)</f>
        <v>18381904567</v>
      </c>
      <c r="L4547" s="122" t="str">
        <f>VLOOKUP(B4547,辅助信息!E:J,6,FALSE)</f>
        <v>控制炉批号！多了现场不收！,优先安排达钢,提前联系到场规格及数量</v>
      </c>
      <c r="O4547" s="62" t="str">
        <f ca="1" t="shared" si="224"/>
        <v/>
      </c>
      <c r="P4547" s="62"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6" t="s">
        <v>112</v>
      </c>
      <c r="C4548" s="70">
        <v>45945</v>
      </c>
      <c r="D4548" s="120" t="str">
        <f>VLOOKUP(B4548,辅助信息!E:K,7,FALSE)</f>
        <v>JWDDCD2025052800131</v>
      </c>
      <c r="E4548" s="120" t="str">
        <f>VLOOKUP(F4548,辅助信息!A:B,2,FALSE)</f>
        <v>螺纹钢</v>
      </c>
      <c r="F4548" s="120" t="s">
        <v>58</v>
      </c>
      <c r="G4548" s="121">
        <v>12</v>
      </c>
      <c r="H4548" s="134">
        <f>IF(SUMIFS('[1]2025年已发货'!$E:$E,'[1]2025年已发货'!$F:$F,C4548,'[1]2025年已发货'!$C:$C,F4548,'[1]2025年已发货'!$G:$G,I4548,'[1]2025年已发货'!$H:$H,J4548)=0,"未发货",SUMIFS('[1]2025年已发货'!$E:$E,'[1]2025年已发货'!$F:$F,C4548,'[1]2025年已发货'!$C:$C,F4548,'[1]2025年已发货'!$G:$G,I4548,'[1]2025年已发货'!$H:$H,J4548))</f>
        <v>10</v>
      </c>
      <c r="I4548" s="120" t="str">
        <f>VLOOKUP(B4548,辅助信息!E:I,3,FALSE)</f>
        <v>（商投建工达州中医药科技园-4工区-10号楼）达州市通川区达州中医药职业学院犀牛大道北段</v>
      </c>
      <c r="J4548" s="120" t="str">
        <f>VLOOKUP(B4548,辅助信息!E:I,4,FALSE)</f>
        <v>张扬</v>
      </c>
      <c r="K4548" s="120">
        <f>VLOOKUP(J4548,辅助信息!H:I,2,FALSE)</f>
        <v>18381904567</v>
      </c>
      <c r="L4548" s="122" t="str">
        <f>VLOOKUP(B4548,辅助信息!E:J,6,FALSE)</f>
        <v>控制炉批号！多了现场不收！,优先安排达钢,提前联系到场规格及数量</v>
      </c>
      <c r="O4548" s="62" t="str">
        <f ca="1" t="shared" si="224"/>
        <v/>
      </c>
      <c r="P4548" s="62"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6" t="s">
        <v>112</v>
      </c>
      <c r="C4549" s="70">
        <v>45945</v>
      </c>
      <c r="D4549" s="120" t="str">
        <f>VLOOKUP(B4549,辅助信息!E:K,7,FALSE)</f>
        <v>JWDDCD2025052800131</v>
      </c>
      <c r="E4549" s="120" t="str">
        <f>VLOOKUP(F4549,辅助信息!A:B,2,FALSE)</f>
        <v>盘螺</v>
      </c>
      <c r="F4549" s="120" t="s">
        <v>49</v>
      </c>
      <c r="G4549" s="121">
        <v>12</v>
      </c>
      <c r="H4549" s="134">
        <f>IF(SUMIFS('[1]2025年已发货'!$E:$E,'[1]2025年已发货'!$F:$F,C4549,'[1]2025年已发货'!$C:$C,F4549,'[1]2025年已发货'!$G:$G,I4549,'[1]2025年已发货'!$H:$H,J4549)=0,"未发货",SUMIFS('[1]2025年已发货'!$E:$E,'[1]2025年已发货'!$F:$F,C4549,'[1]2025年已发货'!$C:$C,F4549,'[1]2025年已发货'!$G:$G,I4549,'[1]2025年已发货'!$H:$H,J4549))</f>
        <v>12</v>
      </c>
      <c r="I4549" s="120" t="str">
        <f>VLOOKUP(B4549,辅助信息!E:I,3,FALSE)</f>
        <v>（商投建工达州中医药科技园-4工区-10号楼）达州市通川区达州中医药职业学院犀牛大道北段</v>
      </c>
      <c r="J4549" s="120" t="str">
        <f>VLOOKUP(B4549,辅助信息!E:I,4,FALSE)</f>
        <v>张扬</v>
      </c>
      <c r="K4549" s="120">
        <f>VLOOKUP(J4549,辅助信息!H:I,2,FALSE)</f>
        <v>18381904567</v>
      </c>
      <c r="L4549" s="122" t="str">
        <f>VLOOKUP(B4549,辅助信息!E:J,6,FALSE)</f>
        <v>控制炉批号！多了现场不收！,优先安排达钢,提前联系到场规格及数量</v>
      </c>
      <c r="O4549" s="62" t="str">
        <f ca="1" t="shared" si="224"/>
        <v/>
      </c>
      <c r="P4549" s="62"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6" t="s">
        <v>194</v>
      </c>
      <c r="C4550" s="70">
        <v>45945</v>
      </c>
      <c r="D4550" s="120" t="str">
        <f>VLOOKUP(B4550,辅助信息!E:K,7,FALSE)</f>
        <v>JWDD2025071500089</v>
      </c>
      <c r="E4550" s="120" t="str">
        <f>VLOOKUP(F4550,辅助信息!A:B,2,FALSE)</f>
        <v>螺纹钢</v>
      </c>
      <c r="F4550" s="120" t="s">
        <v>28</v>
      </c>
      <c r="G4550" s="121">
        <v>10</v>
      </c>
      <c r="H4550" s="134">
        <f>IF(SUMIFS('[1]2025年已发货'!$E:$E,'[1]2025年已发货'!$F:$F,C4550,'[1]2025年已发货'!$C:$C,F4550,'[1]2025年已发货'!$G:$G,I4550,'[1]2025年已发货'!$H:$H,J4550)=0,"未发货",SUMIFS('[1]2025年已发货'!$E:$E,'[1]2025年已发货'!$F:$F,C4550,'[1]2025年已发货'!$C:$C,F4550,'[1]2025年已发货'!$G:$G,I4550,'[1]2025年已发货'!$H:$H,J4550))</f>
        <v>10</v>
      </c>
      <c r="I4550" s="120" t="str">
        <f>VLOOKUP(B4550,辅助信息!E:I,3,FALSE)</f>
        <v>(宜宾兴港三江新区长江工业园保障性租赁住房建设项目-土建)四川省宜宾市翠屏区永善路南段宜宾市三江新区长江工业园区</v>
      </c>
      <c r="J4550" s="120" t="str">
        <f>VLOOKUP(B4550,辅助信息!E:I,4,FALSE)</f>
        <v>赵元虎</v>
      </c>
      <c r="K4550" s="120">
        <f>VLOOKUP(J4550,辅助信息!H:I,2,FALSE)</f>
        <v>13684167136</v>
      </c>
      <c r="L4550" s="122" t="str">
        <f>VLOOKUP(B4550,辅助信息!E:J,6,FALSE)</f>
        <v>现场要求调度统一联系指定收货人，不单独发司机位置。锈货不收，装货前联系收货人核实到场规格,没提前告知进场规格现场不给予接收</v>
      </c>
      <c r="O4550" s="62" t="str">
        <f ca="1" t="shared" si="224"/>
        <v/>
      </c>
      <c r="P4550" s="62"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6" t="s">
        <v>194</v>
      </c>
      <c r="C4551" s="70">
        <v>45945</v>
      </c>
      <c r="D4551" s="120" t="str">
        <f>VLOOKUP(B4551,辅助信息!E:K,7,FALSE)</f>
        <v>JWDD2025071500089</v>
      </c>
      <c r="E4551" s="120" t="str">
        <f>VLOOKUP(F4551,辅助信息!A:B,2,FALSE)</f>
        <v>盘螺</v>
      </c>
      <c r="F4551" s="120" t="s">
        <v>49</v>
      </c>
      <c r="G4551" s="121">
        <v>10</v>
      </c>
      <c r="H4551" s="134">
        <f>IF(SUMIFS('[1]2025年已发货'!$E:$E,'[1]2025年已发货'!$F:$F,C4551,'[1]2025年已发货'!$C:$C,F4551,'[1]2025年已发货'!$G:$G,I4551,'[1]2025年已发货'!$H:$H,J4551)=0,"未发货",SUMIFS('[1]2025年已发货'!$E:$E,'[1]2025年已发货'!$F:$F,C4551,'[1]2025年已发货'!$C:$C,F4551,'[1]2025年已发货'!$G:$G,I4551,'[1]2025年已发货'!$H:$H,J4551))</f>
        <v>10</v>
      </c>
      <c r="I4551" s="120" t="str">
        <f>VLOOKUP(B4551,辅助信息!E:I,3,FALSE)</f>
        <v>(宜宾兴港三江新区长江工业园保障性租赁住房建设项目-土建)四川省宜宾市翠屏区永善路南段宜宾市三江新区长江工业园区</v>
      </c>
      <c r="J4551" s="120" t="str">
        <f>VLOOKUP(B4551,辅助信息!E:I,4,FALSE)</f>
        <v>赵元虎</v>
      </c>
      <c r="K4551" s="120">
        <f>VLOOKUP(J4551,辅助信息!H:I,2,FALSE)</f>
        <v>13684167136</v>
      </c>
      <c r="L4551" s="122" t="str">
        <f>VLOOKUP(B4551,辅助信息!E:J,6,FALSE)</f>
        <v>现场要求调度统一联系指定收货人，不单独发司机位置。锈货不收，装货前联系收货人核实到场规格,没提前告知进场规格现场不给予接收</v>
      </c>
      <c r="O4551" s="62" t="str">
        <f ca="1" t="shared" si="224"/>
        <v/>
      </c>
      <c r="P4551" s="62"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6" t="s">
        <v>194</v>
      </c>
      <c r="C4552" s="70">
        <v>45945</v>
      </c>
      <c r="D4552" s="120" t="str">
        <f>VLOOKUP(B4552,辅助信息!E:K,7,FALSE)</f>
        <v>JWDD2025071500089</v>
      </c>
      <c r="E4552" s="120" t="str">
        <f>VLOOKUP(F4552,辅助信息!A:B,2,FALSE)</f>
        <v>盘螺</v>
      </c>
      <c r="F4552" s="120" t="s">
        <v>40</v>
      </c>
      <c r="G4552" s="121">
        <v>70</v>
      </c>
      <c r="H4552" s="134">
        <f>IF(SUMIFS('[1]2025年已发货'!$E:$E,'[1]2025年已发货'!$F:$F,C4552,'[1]2025年已发货'!$C:$C,F4552,'[1]2025年已发货'!$G:$G,I4552,'[1]2025年已发货'!$H:$H,J4552)=0,"未发货",SUMIFS('[1]2025年已发货'!$E:$E,'[1]2025年已发货'!$F:$F,C4552,'[1]2025年已发货'!$C:$C,F4552,'[1]2025年已发货'!$G:$G,I4552,'[1]2025年已发货'!$H:$H,J4552))</f>
        <v>70</v>
      </c>
      <c r="I4552" s="120" t="str">
        <f>VLOOKUP(B4552,辅助信息!E:I,3,FALSE)</f>
        <v>(宜宾兴港三江新区长江工业园保障性租赁住房建设项目-土建)四川省宜宾市翠屏区永善路南段宜宾市三江新区长江工业园区</v>
      </c>
      <c r="J4552" s="120" t="str">
        <f>VLOOKUP(B4552,辅助信息!E:I,4,FALSE)</f>
        <v>赵元虎</v>
      </c>
      <c r="K4552" s="120">
        <f>VLOOKUP(J4552,辅助信息!H:I,2,FALSE)</f>
        <v>13684167136</v>
      </c>
      <c r="L4552" s="122" t="str">
        <f>VLOOKUP(B4552,辅助信息!E:J,6,FALSE)</f>
        <v>现场要求调度统一联系指定收货人，不单独发司机位置。锈货不收，装货前联系收货人核实到场规格,没提前告知进场规格现场不给予接收</v>
      </c>
      <c r="O4552" s="62" t="str">
        <f ca="1" t="shared" si="224"/>
        <v/>
      </c>
      <c r="P4552" s="62"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5" t="s">
        <v>231</v>
      </c>
      <c r="C4553" s="143">
        <v>45945</v>
      </c>
      <c r="D4553" s="40" t="str">
        <f>VLOOKUP(B4553,辅助信息!E:K,7,FALSE)</f>
        <v>JWDDCD2025102100481</v>
      </c>
      <c r="E4553" s="40" t="str">
        <f>VLOOKUP(F4553,辅助信息!A:B,2,FALSE)</f>
        <v>盘螺</v>
      </c>
      <c r="F4553" s="40" t="s">
        <v>40</v>
      </c>
      <c r="G4553" s="36">
        <v>2</v>
      </c>
      <c r="H4553" s="134">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09" t="str">
        <f>VLOOKUP(B4553,辅助信息!E:J,6,FALSE)</f>
        <v>联系实际收货人（易前刚18228465067）五冶建设送货单,6份材质书,锈货不收，装货前联系收货人核实到场规格,没提前告知进场规格现场不给予接收</v>
      </c>
      <c r="O4553" s="62" t="str">
        <f ca="1" t="shared" si="224"/>
        <v/>
      </c>
      <c r="P4553" s="62"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5" t="s">
        <v>231</v>
      </c>
      <c r="C4554" s="143">
        <v>45945</v>
      </c>
      <c r="D4554" s="40" t="str">
        <f>VLOOKUP(B4554,辅助信息!E:K,7,FALSE)</f>
        <v>JWDDCD2025102100481</v>
      </c>
      <c r="E4554" s="40" t="str">
        <f>VLOOKUP(F4554,辅助信息!A:B,2,FALSE)</f>
        <v>盘螺</v>
      </c>
      <c r="F4554" s="40" t="s">
        <v>41</v>
      </c>
      <c r="G4554" s="36">
        <v>16</v>
      </c>
      <c r="H4554" s="134">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09" t="str">
        <f>VLOOKUP(B4554,辅助信息!E:J,6,FALSE)</f>
        <v>联系实际收货人（易前刚18228465067）五冶建设送货单,6份材质书,锈货不收，装货前联系收货人核实到场规格,没提前告知进场规格现场不给予接收</v>
      </c>
      <c r="O4554" s="62" t="str">
        <f ca="1" t="shared" si="224"/>
        <v/>
      </c>
      <c r="P4554" s="62"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5" t="s">
        <v>231</v>
      </c>
      <c r="C4555" s="143">
        <v>45945</v>
      </c>
      <c r="D4555" s="40" t="str">
        <f>VLOOKUP(B4555,辅助信息!E:K,7,FALSE)</f>
        <v>JWDDCD2025102100481</v>
      </c>
      <c r="E4555" s="40" t="str">
        <f>VLOOKUP(F4555,辅助信息!A:B,2,FALSE)</f>
        <v>盘螺</v>
      </c>
      <c r="F4555" s="40" t="s">
        <v>26</v>
      </c>
      <c r="G4555" s="36">
        <v>12</v>
      </c>
      <c r="H4555" s="134">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09" t="str">
        <f>VLOOKUP(B4555,辅助信息!E:J,6,FALSE)</f>
        <v>联系实际收货人（易前刚18228465067）五冶建设送货单,6份材质书,锈货不收，装货前联系收货人核实到场规格,没提前告知进场规格现场不给予接收</v>
      </c>
      <c r="O4555" s="62" t="str">
        <f ca="1" t="shared" si="224"/>
        <v/>
      </c>
      <c r="P4555" s="62"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5" t="s">
        <v>231</v>
      </c>
      <c r="C4556" s="143">
        <v>45945</v>
      </c>
      <c r="D4556" s="40" t="str">
        <f>VLOOKUP(B4556,辅助信息!E:K,7,FALSE)</f>
        <v>JWDDCD2025102100481</v>
      </c>
      <c r="E4556" s="40" t="str">
        <f>VLOOKUP(F4556,辅助信息!A:B,2,FALSE)</f>
        <v>螺纹钢</v>
      </c>
      <c r="F4556" s="40" t="s">
        <v>19</v>
      </c>
      <c r="G4556" s="36">
        <v>3</v>
      </c>
      <c r="H4556" s="134">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09" t="str">
        <f>VLOOKUP(B4556,辅助信息!E:J,6,FALSE)</f>
        <v>联系实际收货人（易前刚18228465067）五冶建设送货单,6份材质书,锈货不收，装货前联系收货人核实到场规格,没提前告知进场规格现场不给予接收</v>
      </c>
      <c r="O4556" s="62" t="str">
        <f ca="1" t="shared" si="224"/>
        <v/>
      </c>
      <c r="P4556" s="62"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5" t="s">
        <v>231</v>
      </c>
      <c r="C4557" s="143">
        <v>45945</v>
      </c>
      <c r="D4557" s="40" t="str">
        <f>VLOOKUP(B4557,辅助信息!E:K,7,FALSE)</f>
        <v>JWDDCD2025102100481</v>
      </c>
      <c r="E4557" s="40" t="str">
        <f>VLOOKUP(F4557,辅助信息!A:B,2,FALSE)</f>
        <v>螺纹钢</v>
      </c>
      <c r="F4557" s="40" t="s">
        <v>30</v>
      </c>
      <c r="G4557" s="36">
        <v>9</v>
      </c>
      <c r="H4557" s="134">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09" t="str">
        <f>VLOOKUP(B4557,辅助信息!E:J,6,FALSE)</f>
        <v>联系实际收货人（易前刚18228465067）五冶建设送货单,6份材质书,锈货不收，装货前联系收货人核实到场规格,没提前告知进场规格现场不给予接收</v>
      </c>
      <c r="O4557" s="62" t="str">
        <f ca="1" t="shared" si="224"/>
        <v/>
      </c>
      <c r="P4557" s="62"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5" t="s">
        <v>231</v>
      </c>
      <c r="C4558" s="143">
        <v>45945</v>
      </c>
      <c r="D4558" s="40" t="str">
        <f>VLOOKUP(B4558,辅助信息!E:K,7,FALSE)</f>
        <v>JWDDCD2025102100481</v>
      </c>
      <c r="E4558" s="40" t="str">
        <f>VLOOKUP(F4558,辅助信息!A:B,2,FALSE)</f>
        <v>螺纹钢</v>
      </c>
      <c r="F4558" s="40" t="s">
        <v>33</v>
      </c>
      <c r="G4558" s="36">
        <v>6</v>
      </c>
      <c r="H4558" s="134">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09" t="str">
        <f>VLOOKUP(B4558,辅助信息!E:J,6,FALSE)</f>
        <v>联系实际收货人（易前刚18228465067）五冶建设送货单,6份材质书,锈货不收，装货前联系收货人核实到场规格,没提前告知进场规格现场不给予接收</v>
      </c>
      <c r="O4558" s="62" t="str">
        <f ca="1" t="shared" si="224"/>
        <v/>
      </c>
      <c r="P4558" s="62"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5" t="s">
        <v>231</v>
      </c>
      <c r="C4559" s="143">
        <v>45945</v>
      </c>
      <c r="D4559" s="40" t="str">
        <f>VLOOKUP(B4559,辅助信息!E:K,7,FALSE)</f>
        <v>JWDDCD2025102100481</v>
      </c>
      <c r="E4559" s="40" t="str">
        <f>VLOOKUP(F4559,辅助信息!A:B,2,FALSE)</f>
        <v>螺纹钢</v>
      </c>
      <c r="F4559" s="40" t="s">
        <v>28</v>
      </c>
      <c r="G4559" s="36">
        <v>6</v>
      </c>
      <c r="H4559" s="134">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09" t="str">
        <f>VLOOKUP(B4559,辅助信息!E:J,6,FALSE)</f>
        <v>联系实际收货人（易前刚18228465067）五冶建设送货单,6份材质书,锈货不收，装货前联系收货人核实到场规格,没提前告知进场规格现场不给予接收</v>
      </c>
      <c r="O4559" s="62" t="str">
        <f ca="1" t="shared" si="224"/>
        <v/>
      </c>
      <c r="P4559" s="62"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5" t="s">
        <v>231</v>
      </c>
      <c r="C4560" s="143">
        <v>45945</v>
      </c>
      <c r="D4560" s="40" t="str">
        <f>VLOOKUP(B4560,辅助信息!E:K,7,FALSE)</f>
        <v>JWDDCD2025102100481</v>
      </c>
      <c r="E4560" s="40" t="str">
        <f>VLOOKUP(F4560,辅助信息!A:B,2,FALSE)</f>
        <v>螺纹钢</v>
      </c>
      <c r="F4560" s="40" t="s">
        <v>18</v>
      </c>
      <c r="G4560" s="36">
        <v>18</v>
      </c>
      <c r="H4560" s="134">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09" t="str">
        <f>VLOOKUP(B4560,辅助信息!E:J,6,FALSE)</f>
        <v>联系实际收货人（易前刚18228465067）五冶建设送货单,6份材质书,锈货不收，装货前联系收货人核实到场规格,没提前告知进场规格现场不给予接收</v>
      </c>
      <c r="O4560" s="62" t="str">
        <f ca="1" t="shared" si="224"/>
        <v/>
      </c>
      <c r="P4560" s="62"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5" t="s">
        <v>208</v>
      </c>
      <c r="C4561" s="143">
        <v>45945</v>
      </c>
      <c r="D4561" s="40" t="str">
        <f>VLOOKUP(B4561,辅助信息!E:K,7,FALSE)</f>
        <v>JWDDCD2025102100480</v>
      </c>
      <c r="E4561" s="40" t="str">
        <f>VLOOKUP(F4561,辅助信息!A:B,2,FALSE)</f>
        <v>高线</v>
      </c>
      <c r="F4561" s="40" t="s">
        <v>53</v>
      </c>
      <c r="G4561" s="36">
        <v>10</v>
      </c>
      <c r="H4561" s="134">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09" t="str">
        <f>VLOOKUP(B4561,辅助信息!E:J,6,FALSE)</f>
        <v>联系实际收货人（陶杰13980247952）五冶建设送货单,6份材质书,锈货不收，装货前联系收货人核实到场规格,没提前告知进场规格现场不给予接收</v>
      </c>
      <c r="O4561" s="62" t="str">
        <f ca="1" t="shared" si="224"/>
        <v/>
      </c>
      <c r="P4561" s="62"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5" t="s">
        <v>208</v>
      </c>
      <c r="C4562" s="143">
        <v>45945</v>
      </c>
      <c r="D4562" s="40" t="str">
        <f>VLOOKUP(B4562,辅助信息!E:K,7,FALSE)</f>
        <v>JWDDCD2025102100480</v>
      </c>
      <c r="E4562" s="40" t="str">
        <f>VLOOKUP(F4562,辅助信息!A:B,2,FALSE)</f>
        <v>螺纹钢</v>
      </c>
      <c r="F4562" s="40" t="s">
        <v>32</v>
      </c>
      <c r="G4562" s="36">
        <v>16.2</v>
      </c>
      <c r="H4562" s="134">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09" t="str">
        <f>VLOOKUP(B4562,辅助信息!E:J,6,FALSE)</f>
        <v>联系实际收货人（陶杰13980247952）五冶建设送货单,6份材质书,锈货不收，装货前联系收货人核实到场规格,没提前告知进场规格现场不给予接收</v>
      </c>
      <c r="O4562" s="62" t="str">
        <f ca="1" t="shared" si="224"/>
        <v/>
      </c>
      <c r="P4562" s="62"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5" t="s">
        <v>208</v>
      </c>
      <c r="C4563" s="143">
        <v>45945</v>
      </c>
      <c r="D4563" s="40" t="str">
        <f>VLOOKUP(B4563,辅助信息!E:K,7,FALSE)</f>
        <v>JWDDCD2025102100480</v>
      </c>
      <c r="E4563" s="40" t="str">
        <f>VLOOKUP(F4563,辅助信息!A:B,2,FALSE)</f>
        <v>螺纹钢</v>
      </c>
      <c r="F4563" s="40" t="s">
        <v>30</v>
      </c>
      <c r="G4563" s="36">
        <v>13.5</v>
      </c>
      <c r="H4563" s="134">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09" t="str">
        <f>VLOOKUP(B4563,辅助信息!E:J,6,FALSE)</f>
        <v>联系实际收货人（陶杰13980247952）五冶建设送货单,6份材质书,锈货不收，装货前联系收货人核实到场规格,没提前告知进场规格现场不给予接收</v>
      </c>
      <c r="O4563" s="62" t="str">
        <f ca="1" t="shared" si="224"/>
        <v/>
      </c>
      <c r="P4563" s="62"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5" t="s">
        <v>208</v>
      </c>
      <c r="C4564" s="143">
        <v>45945</v>
      </c>
      <c r="D4564" s="40" t="str">
        <f>VLOOKUP(B4564,辅助信息!E:K,7,FALSE)</f>
        <v>JWDDCD2025102100480</v>
      </c>
      <c r="E4564" s="40" t="str">
        <f>VLOOKUP(F4564,辅助信息!A:B,2,FALSE)</f>
        <v>螺纹钢</v>
      </c>
      <c r="F4564" s="40" t="s">
        <v>18</v>
      </c>
      <c r="G4564" s="36">
        <v>29.7</v>
      </c>
      <c r="H4564" s="134">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09" t="str">
        <f>VLOOKUP(B4564,辅助信息!E:J,6,FALSE)</f>
        <v>联系实际收货人（陶杰13980247952）五冶建设送货单,6份材质书,锈货不收，装货前联系收货人核实到场规格,没提前告知进场规格现场不给予接收</v>
      </c>
      <c r="O4564" s="62" t="str">
        <f ca="1" t="shared" si="224"/>
        <v/>
      </c>
      <c r="P4564" s="62"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5" t="s">
        <v>203</v>
      </c>
      <c r="C4565" s="143">
        <v>45945</v>
      </c>
      <c r="D4565" s="40" t="str">
        <f>VLOOKUP(B4565,辅助信息!E:K,7,FALSE)</f>
        <v>JWDDCD2025102100479</v>
      </c>
      <c r="E4565" s="40" t="str">
        <f>VLOOKUP(F4565,辅助信息!A:B,2,FALSE)</f>
        <v>高线</v>
      </c>
      <c r="F4565" s="40" t="s">
        <v>57</v>
      </c>
      <c r="G4565" s="36">
        <v>4</v>
      </c>
      <c r="H4565" s="134"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09"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2" t="str">
        <f ca="1" t="shared" si="224"/>
        <v/>
      </c>
      <c r="P4565" s="62"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5" t="s">
        <v>203</v>
      </c>
      <c r="C4566" s="143">
        <v>45945</v>
      </c>
      <c r="D4566" s="40" t="str">
        <f>VLOOKUP(B4566,辅助信息!E:K,7,FALSE)</f>
        <v>JWDDCD2025102100479</v>
      </c>
      <c r="E4566" s="40" t="str">
        <f>VLOOKUP(F4566,辅助信息!A:B,2,FALSE)</f>
        <v>盘螺</v>
      </c>
      <c r="F4566" s="40" t="s">
        <v>49</v>
      </c>
      <c r="G4566" s="36">
        <v>4</v>
      </c>
      <c r="H4566" s="134"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09"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2" t="str">
        <f ca="1" t="shared" si="224"/>
        <v/>
      </c>
      <c r="P4566" s="62"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7" t="s">
        <v>241</v>
      </c>
      <c r="B4567" s="135" t="s">
        <v>203</v>
      </c>
      <c r="C4567" s="143">
        <v>45945</v>
      </c>
      <c r="D4567" s="40" t="str">
        <f>VLOOKUP(B4567,辅助信息!E:K,7,FALSE)</f>
        <v>JWDDCD2025102100479</v>
      </c>
      <c r="E4567" s="40" t="str">
        <f>VLOOKUP(F4567,辅助信息!A:B,2,FALSE)</f>
        <v>螺纹钢</v>
      </c>
      <c r="F4567" s="40" t="s">
        <v>27</v>
      </c>
      <c r="G4567" s="36">
        <v>6</v>
      </c>
      <c r="H4567" s="134">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09"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2" t="str">
        <f ca="1" t="shared" si="224"/>
        <v/>
      </c>
      <c r="P4567" s="62"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5" t="s">
        <v>203</v>
      </c>
      <c r="C4568" s="143">
        <v>45945</v>
      </c>
      <c r="D4568" s="40" t="str">
        <f>VLOOKUP(B4568,辅助信息!E:K,7,FALSE)</f>
        <v>JWDDCD2025102100479</v>
      </c>
      <c r="E4568" s="40" t="str">
        <f>VLOOKUP(F4568,辅助信息!A:B,2,FALSE)</f>
        <v>螺纹钢</v>
      </c>
      <c r="F4568" s="40" t="s">
        <v>19</v>
      </c>
      <c r="G4568" s="36">
        <v>8</v>
      </c>
      <c r="H4568" s="134"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09"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2" t="str">
        <f ca="1" t="shared" si="224"/>
        <v/>
      </c>
      <c r="P4568" s="62"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5" t="s">
        <v>203</v>
      </c>
      <c r="C4569" s="143">
        <v>45945</v>
      </c>
      <c r="D4569" s="40" t="str">
        <f>VLOOKUP(B4569,辅助信息!E:K,7,FALSE)</f>
        <v>JWDDCD2025102100479</v>
      </c>
      <c r="E4569" s="40" t="str">
        <f>VLOOKUP(F4569,辅助信息!A:B,2,FALSE)</f>
        <v>螺纹钢</v>
      </c>
      <c r="F4569" s="40" t="s">
        <v>32</v>
      </c>
      <c r="G4569" s="36">
        <v>8</v>
      </c>
      <c r="H4569" s="134"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09"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2" t="str">
        <f ca="1" t="shared" si="224"/>
        <v/>
      </c>
      <c r="P4569" s="62"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5" t="s">
        <v>203</v>
      </c>
      <c r="C4570" s="143">
        <v>45945</v>
      </c>
      <c r="D4570" s="40" t="str">
        <f>VLOOKUP(B4570,辅助信息!E:K,7,FALSE)</f>
        <v>JWDDCD2025102100479</v>
      </c>
      <c r="E4570" s="40" t="str">
        <f>VLOOKUP(F4570,辅助信息!A:B,2,FALSE)</f>
        <v>螺纹钢</v>
      </c>
      <c r="F4570" s="40" t="s">
        <v>33</v>
      </c>
      <c r="G4570" s="36">
        <v>10</v>
      </c>
      <c r="H4570" s="134"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09"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2" t="str">
        <f ca="1" t="shared" si="224"/>
        <v/>
      </c>
      <c r="P4570" s="62"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5" t="s">
        <v>203</v>
      </c>
      <c r="C4571" s="143">
        <v>45945</v>
      </c>
      <c r="D4571" s="40" t="str">
        <f>VLOOKUP(B4571,辅助信息!E:K,7,FALSE)</f>
        <v>JWDDCD2025102100479</v>
      </c>
      <c r="E4571" s="40" t="str">
        <f>VLOOKUP(F4571,辅助信息!A:B,2,FALSE)</f>
        <v>螺纹钢</v>
      </c>
      <c r="F4571" s="40" t="s">
        <v>28</v>
      </c>
      <c r="G4571" s="36">
        <v>3</v>
      </c>
      <c r="H4571" s="134">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09"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2" t="str">
        <f ca="1" t="shared" si="224"/>
        <v/>
      </c>
      <c r="P4571" s="62"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5" t="s">
        <v>203</v>
      </c>
      <c r="C4572" s="143">
        <v>45945</v>
      </c>
      <c r="D4572" s="40" t="str">
        <f>VLOOKUP(B4572,辅助信息!E:K,7,FALSE)</f>
        <v>JWDDCD2025102100479</v>
      </c>
      <c r="E4572" s="40" t="str">
        <f>VLOOKUP(F4572,辅助信息!A:B,2,FALSE)</f>
        <v>螺纹钢</v>
      </c>
      <c r="F4572" s="40" t="s">
        <v>18</v>
      </c>
      <c r="G4572" s="36">
        <v>10</v>
      </c>
      <c r="H4572" s="134">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09"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2" t="str">
        <f ca="1" t="shared" si="224"/>
        <v/>
      </c>
      <c r="P4572" s="62"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5" t="s">
        <v>203</v>
      </c>
      <c r="C4573" s="143">
        <v>45945</v>
      </c>
      <c r="D4573" s="40" t="str">
        <f>VLOOKUP(B4573,辅助信息!E:K,7,FALSE)</f>
        <v>JWDDCD2025102100479</v>
      </c>
      <c r="E4573" s="40" t="str">
        <f>VLOOKUP(F4573,辅助信息!A:B,2,FALSE)</f>
        <v>螺纹钢</v>
      </c>
      <c r="F4573" s="40" t="s">
        <v>65</v>
      </c>
      <c r="G4573" s="36">
        <v>3</v>
      </c>
      <c r="H4573" s="134">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09"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2" t="str">
        <f ca="1" t="shared" si="224"/>
        <v/>
      </c>
      <c r="P4573" s="62"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5" t="s">
        <v>203</v>
      </c>
      <c r="C4574" s="143">
        <v>45945</v>
      </c>
      <c r="D4574" s="40" t="str">
        <f>VLOOKUP(B4574,辅助信息!E:K,7,FALSE)</f>
        <v>JWDDCD2025102100479</v>
      </c>
      <c r="E4574" s="40" t="str">
        <f>VLOOKUP(F4574,辅助信息!A:B,2,FALSE)</f>
        <v>螺纹钢</v>
      </c>
      <c r="F4574" s="40" t="s">
        <v>66</v>
      </c>
      <c r="G4574" s="36">
        <v>14</v>
      </c>
      <c r="H4574" s="134">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09"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2" t="str">
        <f ca="1" t="shared" si="224"/>
        <v/>
      </c>
      <c r="P4574" s="62"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5" t="s">
        <v>228</v>
      </c>
      <c r="C4575" s="70">
        <v>45945</v>
      </c>
      <c r="D4575" s="40" t="str">
        <f>VLOOKUP(B4575,辅助信息!E:K,7,FALSE)</f>
        <v>JWDDCD2025092400190</v>
      </c>
      <c r="E4575" s="40" t="str">
        <f>VLOOKUP(F4575,辅助信息!A:B,2,FALSE)</f>
        <v>螺纹钢</v>
      </c>
      <c r="F4575" s="40" t="s">
        <v>27</v>
      </c>
      <c r="G4575" s="36">
        <v>17</v>
      </c>
      <c r="H4575" s="134"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09">
        <f>VLOOKUP(B4575,辅助信息!E:J,6,FALSE)</f>
        <v>0</v>
      </c>
      <c r="O4575" s="62" t="str">
        <f ca="1" t="shared" si="224"/>
        <v/>
      </c>
      <c r="P4575" s="62"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5" t="s">
        <v>228</v>
      </c>
      <c r="C4576" s="70">
        <v>45945</v>
      </c>
      <c r="D4576" s="40" t="str">
        <f>VLOOKUP(B4576,辅助信息!E:K,7,FALSE)</f>
        <v>JWDDCD2025092400190</v>
      </c>
      <c r="E4576" s="40" t="str">
        <f>VLOOKUP(F4576,辅助信息!A:B,2,FALSE)</f>
        <v>螺纹钢</v>
      </c>
      <c r="F4576" s="40" t="s">
        <v>19</v>
      </c>
      <c r="G4576" s="36">
        <v>20</v>
      </c>
      <c r="H4576" s="134">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09">
        <f>VLOOKUP(B4576,辅助信息!E:J,6,FALSE)</f>
        <v>0</v>
      </c>
      <c r="O4576" s="62" t="str">
        <f ca="1" t="shared" ref="O4576:O4639" si="226">IF(OR(M4576="",N4576&lt;&gt;""),"",MAX(M4576-TODAY(),0))</f>
        <v/>
      </c>
      <c r="P4576" s="62"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5" t="s">
        <v>228</v>
      </c>
      <c r="C4577" s="70">
        <v>45945</v>
      </c>
      <c r="D4577" s="40" t="str">
        <f>VLOOKUP(B4577,辅助信息!E:K,7,FALSE)</f>
        <v>JWDDCD2025092400190</v>
      </c>
      <c r="E4577" s="40" t="str">
        <f>VLOOKUP(F4577,辅助信息!A:B,2,FALSE)</f>
        <v>螺纹钢</v>
      </c>
      <c r="F4577" s="40" t="s">
        <v>18</v>
      </c>
      <c r="G4577" s="36">
        <v>15</v>
      </c>
      <c r="H4577" s="134">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09">
        <f>VLOOKUP(B4577,辅助信息!E:J,6,FALSE)</f>
        <v>0</v>
      </c>
      <c r="O4577" s="62" t="str">
        <f ca="1" t="shared" si="226"/>
        <v/>
      </c>
      <c r="P4577" s="62"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5" t="s">
        <v>228</v>
      </c>
      <c r="C4578" s="70">
        <v>45945</v>
      </c>
      <c r="D4578" s="40" t="str">
        <f>VLOOKUP(B4578,辅助信息!E:K,7,FALSE)</f>
        <v>JWDDCD2025092400190</v>
      </c>
      <c r="E4578" s="40" t="str">
        <f>VLOOKUP(F4578,辅助信息!A:B,2,FALSE)</f>
        <v>盘螺</v>
      </c>
      <c r="F4578" s="40" t="s">
        <v>40</v>
      </c>
      <c r="G4578" s="36">
        <v>18</v>
      </c>
      <c r="H4578" s="134">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09">
        <f>VLOOKUP(B4578,辅助信息!E:J,6,FALSE)</f>
        <v>0</v>
      </c>
      <c r="O4578" s="62" t="str">
        <f ca="1" t="shared" si="226"/>
        <v/>
      </c>
      <c r="P4578" s="62"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5" t="s">
        <v>240</v>
      </c>
      <c r="C4579" s="70">
        <v>45945</v>
      </c>
      <c r="D4579" s="40" t="str">
        <f>VLOOKUP(B4579,辅助信息!E:K,7,FALSE)</f>
        <v>JWDDCD2025092400204</v>
      </c>
      <c r="E4579" s="40" t="str">
        <f>VLOOKUP(F4579,辅助信息!A:B,2,FALSE)</f>
        <v>高线</v>
      </c>
      <c r="F4579" s="40" t="s">
        <v>53</v>
      </c>
      <c r="G4579" s="36">
        <v>2.5</v>
      </c>
      <c r="H4579" s="134"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09">
        <f>VLOOKUP(B4579,辅助信息!E:J,6,FALSE)</f>
        <v>0</v>
      </c>
      <c r="O4579" s="62" t="str">
        <f ca="1" t="shared" si="226"/>
        <v/>
      </c>
      <c r="P4579" s="62"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5" t="s">
        <v>240</v>
      </c>
      <c r="C4580" s="70">
        <v>45945</v>
      </c>
      <c r="D4580" s="40" t="str">
        <f>VLOOKUP(B4580,辅助信息!E:K,7,FALSE)</f>
        <v>JWDDCD2025092400204</v>
      </c>
      <c r="E4580" s="40" t="str">
        <f>VLOOKUP(F4580,辅助信息!A:B,2,FALSE)</f>
        <v>盘螺</v>
      </c>
      <c r="F4580" s="40" t="s">
        <v>41</v>
      </c>
      <c r="G4580" s="36">
        <v>15</v>
      </c>
      <c r="H4580" s="134"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09">
        <f>VLOOKUP(B4580,辅助信息!E:J,6,FALSE)</f>
        <v>0</v>
      </c>
      <c r="O4580" s="62" t="str">
        <f ca="1" t="shared" si="226"/>
        <v/>
      </c>
      <c r="P4580" s="62"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5" t="s">
        <v>240</v>
      </c>
      <c r="C4581" s="70">
        <v>45945</v>
      </c>
      <c r="D4581" s="40" t="str">
        <f>VLOOKUP(B4581,辅助信息!E:K,7,FALSE)</f>
        <v>JWDDCD2025092400204</v>
      </c>
      <c r="E4581" s="40" t="str">
        <f>VLOOKUP(F4581,辅助信息!A:B,2,FALSE)</f>
        <v>盘螺</v>
      </c>
      <c r="F4581" s="40" t="s">
        <v>49</v>
      </c>
      <c r="G4581" s="36">
        <v>5</v>
      </c>
      <c r="H4581" s="134"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09">
        <f>VLOOKUP(B4581,辅助信息!E:J,6,FALSE)</f>
        <v>0</v>
      </c>
      <c r="O4581" s="62" t="str">
        <f ca="1" t="shared" si="226"/>
        <v/>
      </c>
      <c r="P4581" s="62"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5" t="s">
        <v>240</v>
      </c>
      <c r="C4582" s="70">
        <v>45945</v>
      </c>
      <c r="D4582" s="40" t="str">
        <f>VLOOKUP(B4582,辅助信息!E:K,7,FALSE)</f>
        <v>JWDDCD2025092400204</v>
      </c>
      <c r="E4582" s="40" t="str">
        <f>VLOOKUP(F4582,辅助信息!A:B,2,FALSE)</f>
        <v>盘螺</v>
      </c>
      <c r="F4582" s="40" t="s">
        <v>40</v>
      </c>
      <c r="G4582" s="36">
        <v>10</v>
      </c>
      <c r="H4582" s="134"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09">
        <f>VLOOKUP(B4582,辅助信息!E:J,6,FALSE)</f>
        <v>0</v>
      </c>
      <c r="O4582" s="62" t="str">
        <f ca="1" t="shared" si="226"/>
        <v/>
      </c>
      <c r="P4582" s="62"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5" t="s">
        <v>224</v>
      </c>
      <c r="C4583" s="70">
        <v>45945</v>
      </c>
      <c r="D4583" s="40" t="str">
        <f>VLOOKUP(B4583,辅助信息!E:K,7,FALSE)</f>
        <v>JWDDCD2025092400188</v>
      </c>
      <c r="E4583" s="40" t="str">
        <f>VLOOKUP(F4583,辅助信息!A:B,2,FALSE)</f>
        <v>螺纹钢</v>
      </c>
      <c r="F4583" s="40" t="s">
        <v>27</v>
      </c>
      <c r="G4583" s="36">
        <v>35</v>
      </c>
      <c r="H4583" s="134">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09">
        <f>VLOOKUP(B4583,辅助信息!E:J,6,FALSE)</f>
        <v>0</v>
      </c>
      <c r="O4583" s="62" t="str">
        <f ca="1" t="shared" si="226"/>
        <v/>
      </c>
      <c r="P4583" s="62"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5" t="s">
        <v>224</v>
      </c>
      <c r="C4584" s="70">
        <v>45945</v>
      </c>
      <c r="D4584" s="40" t="str">
        <f>VLOOKUP(B4584,辅助信息!E:K,7,FALSE)</f>
        <v>JWDDCD2025092400188</v>
      </c>
      <c r="E4584" s="40" t="str">
        <f>VLOOKUP(F4584,辅助信息!A:B,2,FALSE)</f>
        <v>盘螺</v>
      </c>
      <c r="F4584" s="40" t="s">
        <v>41</v>
      </c>
      <c r="G4584" s="36">
        <v>30</v>
      </c>
      <c r="H4584" s="134">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09">
        <f>VLOOKUP(B4584,辅助信息!E:J,6,FALSE)</f>
        <v>0</v>
      </c>
      <c r="O4584" s="62" t="str">
        <f ca="1" t="shared" si="226"/>
        <v/>
      </c>
      <c r="P4584" s="62"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5" t="s">
        <v>224</v>
      </c>
      <c r="C4585" s="70">
        <v>45945</v>
      </c>
      <c r="D4585" s="40" t="str">
        <f>VLOOKUP(B4585,辅助信息!E:K,7,FALSE)</f>
        <v>JWDDCD2025092400188</v>
      </c>
      <c r="E4585" s="40" t="str">
        <f>VLOOKUP(F4585,辅助信息!A:B,2,FALSE)</f>
        <v>盘螺</v>
      </c>
      <c r="F4585" s="40" t="s">
        <v>40</v>
      </c>
      <c r="G4585" s="36">
        <v>40</v>
      </c>
      <c r="H4585" s="134">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09">
        <f>VLOOKUP(B4585,辅助信息!E:J,6,FALSE)</f>
        <v>0</v>
      </c>
      <c r="O4585" s="62" t="str">
        <f ca="1" t="shared" si="226"/>
        <v/>
      </c>
      <c r="P4585" s="62"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5" t="s">
        <v>229</v>
      </c>
      <c r="C4586" s="70">
        <v>45945</v>
      </c>
      <c r="D4586" s="40" t="str">
        <f>VLOOKUP(B4586,辅助信息!E:K,7,FALSE)</f>
        <v>JWDDCD2025092400212</v>
      </c>
      <c r="E4586" s="40" t="str">
        <f>VLOOKUP(F4586,辅助信息!A:B,2,FALSE)</f>
        <v>螺纹钢</v>
      </c>
      <c r="F4586" s="40" t="s">
        <v>27</v>
      </c>
      <c r="G4586" s="36">
        <v>60</v>
      </c>
      <c r="H4586" s="134"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09">
        <f>VLOOKUP(B4586,辅助信息!E:J,6,FALSE)</f>
        <v>0</v>
      </c>
      <c r="O4586" s="62" t="str">
        <f ca="1" t="shared" si="226"/>
        <v/>
      </c>
      <c r="P4586" s="62"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5" t="s">
        <v>229</v>
      </c>
      <c r="C4587" s="70">
        <v>45945</v>
      </c>
      <c r="D4587" s="40" t="str">
        <f>VLOOKUP(B4587,辅助信息!E:K,7,FALSE)</f>
        <v>JWDDCD2025092400212</v>
      </c>
      <c r="E4587" s="40" t="str">
        <f>VLOOKUP(F4587,辅助信息!A:B,2,FALSE)</f>
        <v>螺纹钢</v>
      </c>
      <c r="F4587" s="40" t="s">
        <v>19</v>
      </c>
      <c r="G4587" s="36">
        <v>38</v>
      </c>
      <c r="H4587" s="134"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09">
        <f>VLOOKUP(B4587,辅助信息!E:J,6,FALSE)</f>
        <v>0</v>
      </c>
      <c r="O4587" s="62" t="str">
        <f ca="1" t="shared" si="226"/>
        <v/>
      </c>
      <c r="P4587" s="62"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5" t="s">
        <v>229</v>
      </c>
      <c r="C4588" s="70">
        <v>45945</v>
      </c>
      <c r="D4588" s="40" t="str">
        <f>VLOOKUP(B4588,辅助信息!E:K,7,FALSE)</f>
        <v>JWDDCD2025092400212</v>
      </c>
      <c r="E4588" s="40" t="str">
        <f>VLOOKUP(F4588,辅助信息!A:B,2,FALSE)</f>
        <v>螺纹钢</v>
      </c>
      <c r="F4588" s="40" t="s">
        <v>33</v>
      </c>
      <c r="G4588" s="36">
        <v>20</v>
      </c>
      <c r="H4588" s="134"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09">
        <f>VLOOKUP(B4588,辅助信息!E:J,6,FALSE)</f>
        <v>0</v>
      </c>
      <c r="O4588" s="62" t="str">
        <f ca="1" t="shared" si="226"/>
        <v/>
      </c>
      <c r="P4588" s="62"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5" t="s">
        <v>229</v>
      </c>
      <c r="C4589" s="70">
        <v>45945</v>
      </c>
      <c r="D4589" s="40" t="str">
        <f>VLOOKUP(B4589,辅助信息!E:K,7,FALSE)</f>
        <v>JWDDCD2025092400212</v>
      </c>
      <c r="E4589" s="40" t="str">
        <f>VLOOKUP(F4589,辅助信息!A:B,2,FALSE)</f>
        <v>螺纹钢</v>
      </c>
      <c r="F4589" s="40" t="s">
        <v>28</v>
      </c>
      <c r="G4589" s="36">
        <v>24</v>
      </c>
      <c r="H4589" s="134"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09">
        <f>VLOOKUP(B4589,辅助信息!E:J,6,FALSE)</f>
        <v>0</v>
      </c>
      <c r="O4589" s="62" t="str">
        <f ca="1" t="shared" si="226"/>
        <v/>
      </c>
      <c r="P4589" s="62"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5" t="s">
        <v>229</v>
      </c>
      <c r="C4590" s="70">
        <v>45945</v>
      </c>
      <c r="D4590" s="40" t="str">
        <f>VLOOKUP(B4590,辅助信息!E:K,7,FALSE)</f>
        <v>JWDDCD2025092400212</v>
      </c>
      <c r="E4590" s="40" t="str">
        <f>VLOOKUP(F4590,辅助信息!A:B,2,FALSE)</f>
        <v>螺纹钢</v>
      </c>
      <c r="F4590" s="40" t="s">
        <v>18</v>
      </c>
      <c r="G4590" s="36">
        <v>4</v>
      </c>
      <c r="H4590" s="134"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09">
        <f>VLOOKUP(B4590,辅助信息!E:J,6,FALSE)</f>
        <v>0</v>
      </c>
      <c r="O4590" s="62" t="str">
        <f ca="1" t="shared" si="226"/>
        <v/>
      </c>
      <c r="P4590" s="62"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5" t="s">
        <v>229</v>
      </c>
      <c r="C4591" s="70">
        <v>45945</v>
      </c>
      <c r="D4591" s="40" t="str">
        <f>VLOOKUP(B4591,辅助信息!E:K,7,FALSE)</f>
        <v>JWDDCD2025092400212</v>
      </c>
      <c r="E4591" s="40" t="str">
        <f>VLOOKUP(F4591,辅助信息!A:B,2,FALSE)</f>
        <v>盘螺</v>
      </c>
      <c r="F4591" s="40" t="s">
        <v>41</v>
      </c>
      <c r="G4591" s="36">
        <v>62</v>
      </c>
      <c r="H4591" s="134"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09">
        <f>VLOOKUP(B4591,辅助信息!E:J,6,FALSE)</f>
        <v>0</v>
      </c>
      <c r="O4591" s="62" t="str">
        <f ca="1" t="shared" si="226"/>
        <v/>
      </c>
      <c r="P4591" s="62"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5" t="s">
        <v>229</v>
      </c>
      <c r="C4592" s="70">
        <v>45945</v>
      </c>
      <c r="D4592" s="40" t="str">
        <f>VLOOKUP(B4592,辅助信息!E:K,7,FALSE)</f>
        <v>JWDDCD2025092400212</v>
      </c>
      <c r="E4592" s="40" t="str">
        <f>VLOOKUP(F4592,辅助信息!A:B,2,FALSE)</f>
        <v>盘螺</v>
      </c>
      <c r="F4592" s="40" t="s">
        <v>49</v>
      </c>
      <c r="G4592" s="36">
        <v>6</v>
      </c>
      <c r="H4592" s="134"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09">
        <f>VLOOKUP(B4592,辅助信息!E:J,6,FALSE)</f>
        <v>0</v>
      </c>
      <c r="O4592" s="62" t="str">
        <f ca="1" t="shared" si="226"/>
        <v/>
      </c>
      <c r="P4592" s="62"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5" t="s">
        <v>229</v>
      </c>
      <c r="C4593" s="70">
        <v>45945</v>
      </c>
      <c r="D4593" s="40" t="str">
        <f>VLOOKUP(B4593,辅助信息!E:K,7,FALSE)</f>
        <v>JWDDCD2025092400212</v>
      </c>
      <c r="E4593" s="40" t="str">
        <f>VLOOKUP(F4593,辅助信息!A:B,2,FALSE)</f>
        <v>盘螺</v>
      </c>
      <c r="F4593" s="40" t="s">
        <v>40</v>
      </c>
      <c r="G4593" s="36">
        <v>109</v>
      </c>
      <c r="H4593" s="134"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09">
        <f>VLOOKUP(B4593,辅助信息!E:J,6,FALSE)</f>
        <v>0</v>
      </c>
      <c r="O4593" s="62" t="str">
        <f ca="1" t="shared" si="226"/>
        <v/>
      </c>
      <c r="P4593" s="62"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5" t="s">
        <v>225</v>
      </c>
      <c r="C4594" s="70">
        <v>45945</v>
      </c>
      <c r="D4594" s="40" t="str">
        <f>VLOOKUP(B4594,辅助信息!E:K,7,FALSE)</f>
        <v>JWDDCD2025092400210</v>
      </c>
      <c r="E4594" s="40" t="str">
        <f>VLOOKUP(F4594,辅助信息!A:B,2,FALSE)</f>
        <v>螺纹钢</v>
      </c>
      <c r="F4594" s="40" t="s">
        <v>27</v>
      </c>
      <c r="G4594" s="36">
        <v>25</v>
      </c>
      <c r="H4594" s="134">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09">
        <f>VLOOKUP(B4594,辅助信息!E:J,6,FALSE)</f>
        <v>0</v>
      </c>
      <c r="O4594" s="62" t="str">
        <f ca="1" t="shared" si="226"/>
        <v/>
      </c>
      <c r="P4594" s="62"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5" t="s">
        <v>225</v>
      </c>
      <c r="C4595" s="70">
        <v>45945</v>
      </c>
      <c r="D4595" s="40" t="str">
        <f>VLOOKUP(B4595,辅助信息!E:K,7,FALSE)</f>
        <v>JWDDCD2025092400210</v>
      </c>
      <c r="E4595" s="40" t="str">
        <f>VLOOKUP(F4595,辅助信息!A:B,2,FALSE)</f>
        <v>螺纹钢</v>
      </c>
      <c r="F4595" s="40" t="s">
        <v>32</v>
      </c>
      <c r="G4595" s="36">
        <v>40</v>
      </c>
      <c r="H4595" s="134">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09">
        <f>VLOOKUP(B4595,辅助信息!E:J,6,FALSE)</f>
        <v>0</v>
      </c>
      <c r="O4595" s="62" t="str">
        <f ca="1" t="shared" si="226"/>
        <v/>
      </c>
      <c r="P4595" s="62"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5" t="s">
        <v>225</v>
      </c>
      <c r="C4596" s="70">
        <v>45945</v>
      </c>
      <c r="D4596" s="40" t="str">
        <f>VLOOKUP(B4596,辅助信息!E:K,7,FALSE)</f>
        <v>JWDDCD2025092400210</v>
      </c>
      <c r="E4596" s="40" t="str">
        <f>VLOOKUP(F4596,辅助信息!A:B,2,FALSE)</f>
        <v>螺纹钢</v>
      </c>
      <c r="F4596" s="40" t="s">
        <v>18</v>
      </c>
      <c r="G4596" s="36">
        <v>10</v>
      </c>
      <c r="H4596" s="134">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09">
        <f>VLOOKUP(B4596,辅助信息!E:J,6,FALSE)</f>
        <v>0</v>
      </c>
      <c r="O4596" s="62" t="str">
        <f ca="1" t="shared" si="226"/>
        <v/>
      </c>
      <c r="P4596" s="62"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5" t="s">
        <v>225</v>
      </c>
      <c r="C4597" s="70">
        <v>45945</v>
      </c>
      <c r="D4597" s="40" t="str">
        <f>VLOOKUP(B4597,辅助信息!E:K,7,FALSE)</f>
        <v>JWDDCD2025092400210</v>
      </c>
      <c r="E4597" s="40" t="str">
        <f>VLOOKUP(F4597,辅助信息!A:B,2,FALSE)</f>
        <v>螺纹钢</v>
      </c>
      <c r="F4597" s="40" t="s">
        <v>46</v>
      </c>
      <c r="G4597" s="36">
        <v>6</v>
      </c>
      <c r="H4597" s="134">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09">
        <f>VLOOKUP(B4597,辅助信息!E:J,6,FALSE)</f>
        <v>0</v>
      </c>
      <c r="O4597" s="62" t="str">
        <f ca="1" t="shared" si="226"/>
        <v/>
      </c>
      <c r="P4597" s="62"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5" t="s">
        <v>225</v>
      </c>
      <c r="C4598" s="70">
        <v>45945</v>
      </c>
      <c r="D4598" s="40" t="str">
        <f>VLOOKUP(B4598,辅助信息!E:K,7,FALSE)</f>
        <v>JWDDCD2025092400210</v>
      </c>
      <c r="E4598" s="40" t="str">
        <f>VLOOKUP(F4598,辅助信息!A:B,2,FALSE)</f>
        <v>盘螺</v>
      </c>
      <c r="F4598" s="40" t="s">
        <v>41</v>
      </c>
      <c r="G4598" s="36">
        <v>45</v>
      </c>
      <c r="H4598" s="134">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09">
        <f>VLOOKUP(B4598,辅助信息!E:J,6,FALSE)</f>
        <v>0</v>
      </c>
      <c r="O4598" s="62" t="str">
        <f ca="1" t="shared" si="226"/>
        <v/>
      </c>
      <c r="P4598" s="62"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5" t="s">
        <v>225</v>
      </c>
      <c r="C4599" s="70">
        <v>45945</v>
      </c>
      <c r="D4599" s="40" t="str">
        <f>VLOOKUP(B4599,辅助信息!E:K,7,FALSE)</f>
        <v>JWDDCD2025092400210</v>
      </c>
      <c r="E4599" s="40" t="str">
        <f>VLOOKUP(F4599,辅助信息!A:B,2,FALSE)</f>
        <v>盘螺</v>
      </c>
      <c r="F4599" s="40" t="s">
        <v>26</v>
      </c>
      <c r="G4599" s="36">
        <v>14</v>
      </c>
      <c r="H4599" s="134"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09">
        <f>VLOOKUP(B4599,辅助信息!E:J,6,FALSE)</f>
        <v>0</v>
      </c>
      <c r="O4599" s="62" t="str">
        <f ca="1" t="shared" si="226"/>
        <v/>
      </c>
      <c r="P4599" s="62"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5" t="s">
        <v>225</v>
      </c>
      <c r="C4600" s="70">
        <v>45945</v>
      </c>
      <c r="D4600" s="40" t="str">
        <f>VLOOKUP(B4600,辅助信息!E:K,7,FALSE)</f>
        <v>JWDDCD2025092400210</v>
      </c>
      <c r="E4600" s="40" t="str">
        <f>VLOOKUP(F4600,辅助信息!A:B,2,FALSE)</f>
        <v>盘螺</v>
      </c>
      <c r="F4600" s="40" t="s">
        <v>49</v>
      </c>
      <c r="G4600" s="36">
        <v>20</v>
      </c>
      <c r="H4600" s="134">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09">
        <f>VLOOKUP(B4600,辅助信息!E:J,6,FALSE)</f>
        <v>0</v>
      </c>
      <c r="O4600" s="62" t="str">
        <f ca="1" t="shared" si="226"/>
        <v/>
      </c>
      <c r="P4600" s="62"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5" t="s">
        <v>225</v>
      </c>
      <c r="C4601" s="70">
        <v>45945</v>
      </c>
      <c r="D4601" s="40" t="str">
        <f>VLOOKUP(B4601,辅助信息!E:K,7,FALSE)</f>
        <v>JWDDCD2025092400210</v>
      </c>
      <c r="E4601" s="40" t="str">
        <f>VLOOKUP(F4601,辅助信息!A:B,2,FALSE)</f>
        <v>盘螺</v>
      </c>
      <c r="F4601" s="40" t="s">
        <v>40</v>
      </c>
      <c r="G4601" s="36">
        <v>50</v>
      </c>
      <c r="H4601" s="134">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09">
        <f>VLOOKUP(B4601,辅助信息!E:J,6,FALSE)</f>
        <v>0</v>
      </c>
      <c r="O4601" s="62" t="str">
        <f ca="1" t="shared" si="226"/>
        <v/>
      </c>
      <c r="P4601" s="62"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6" t="s">
        <v>232</v>
      </c>
      <c r="C4602" s="70">
        <v>45946</v>
      </c>
      <c r="D4602" s="120" t="str">
        <f>VLOOKUP(B4602,辅助信息!E:K,7,FALSE)</f>
        <v>JWDDCD2025052800131</v>
      </c>
      <c r="E4602" s="120" t="str">
        <f>VLOOKUP(F4602,辅助信息!A:B,2,FALSE)</f>
        <v>螺纹钢</v>
      </c>
      <c r="F4602" s="120" t="s">
        <v>21</v>
      </c>
      <c r="G4602" s="121">
        <v>20</v>
      </c>
      <c r="H4602" s="134"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0" t="str">
        <f>VLOOKUP(B4602,辅助信息!E:I,3,FALSE)</f>
        <v>（商投建工达州中医药科技园-2工区-2号桥）达州市通川区达州中医药职业学院犀牛大道北段</v>
      </c>
      <c r="J4602" s="120" t="str">
        <f>VLOOKUP(B4602,辅助信息!E:I,4,FALSE)</f>
        <v>李波</v>
      </c>
      <c r="K4602" s="120">
        <f>VLOOKUP(J4602,辅助信息!H:I,2,FALSE)</f>
        <v>18381899787</v>
      </c>
      <c r="L4602" s="122" t="str">
        <f>VLOOKUP(B4602,辅助信息!E:J,6,FALSE)</f>
        <v>控制炉批号！多了现场不收！,优先安排达钢,提前联系到场规格及数量</v>
      </c>
      <c r="O4602" s="62" t="str">
        <f ca="1" t="shared" si="226"/>
        <v/>
      </c>
      <c r="P4602" s="62"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6" t="s">
        <v>232</v>
      </c>
      <c r="C4603" s="70">
        <v>45946</v>
      </c>
      <c r="D4603" s="120" t="str">
        <f>VLOOKUP(B4603,辅助信息!E:K,7,FALSE)</f>
        <v>JWDDCD2025052800131</v>
      </c>
      <c r="E4603" s="120" t="str">
        <f>VLOOKUP(F4603,辅助信息!A:B,2,FALSE)</f>
        <v>螺纹钢</v>
      </c>
      <c r="F4603" s="120" t="s">
        <v>58</v>
      </c>
      <c r="G4603" s="121">
        <v>20</v>
      </c>
      <c r="H4603" s="134"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0" t="str">
        <f>VLOOKUP(B4603,辅助信息!E:I,3,FALSE)</f>
        <v>（商投建工达州中医药科技园-2工区-2号桥）达州市通川区达州中医药职业学院犀牛大道北段</v>
      </c>
      <c r="J4603" s="120" t="str">
        <f>VLOOKUP(B4603,辅助信息!E:I,4,FALSE)</f>
        <v>李波</v>
      </c>
      <c r="K4603" s="120">
        <f>VLOOKUP(J4603,辅助信息!H:I,2,FALSE)</f>
        <v>18381899787</v>
      </c>
      <c r="L4603" s="122" t="str">
        <f>VLOOKUP(B4603,辅助信息!E:J,6,FALSE)</f>
        <v>控制炉批号！多了现场不收！,优先安排达钢,提前联系到场规格及数量</v>
      </c>
      <c r="O4603" s="62" t="str">
        <f ca="1" t="shared" si="226"/>
        <v/>
      </c>
      <c r="P4603" s="62"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6" t="s">
        <v>68</v>
      </c>
      <c r="C4604" s="70">
        <v>45946</v>
      </c>
      <c r="D4604" s="120" t="str">
        <f>VLOOKUP(B4604,辅助信息!E:K,7,FALSE)</f>
        <v>JWDDCD2025052800131</v>
      </c>
      <c r="E4604" s="120" t="str">
        <f>VLOOKUP(F4604,辅助信息!A:B,2,FALSE)</f>
        <v>螺纹钢</v>
      </c>
      <c r="F4604" s="120" t="s">
        <v>30</v>
      </c>
      <c r="G4604" s="121">
        <v>20</v>
      </c>
      <c r="H4604" s="134"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0" t="str">
        <f>VLOOKUP(B4604,辅助信息!E:I,3,FALSE)</f>
        <v>（商投建工达州中医药科技园-2工区-景观桥）达州市通川区达州中医药职业学院犀牛大道北段</v>
      </c>
      <c r="J4604" s="120" t="str">
        <f>VLOOKUP(B4604,辅助信息!E:I,4,FALSE)</f>
        <v>李波</v>
      </c>
      <c r="K4604" s="120">
        <f>VLOOKUP(J4604,辅助信息!H:I,2,FALSE)</f>
        <v>18381899787</v>
      </c>
      <c r="L4604" s="122" t="str">
        <f>VLOOKUP(B4604,辅助信息!E:J,6,FALSE)</f>
        <v>控制炉批号！多了现场不收！,优先安排达钢,提前联系到场规格及数量</v>
      </c>
      <c r="O4604" s="62" t="str">
        <f ca="1" t="shared" si="226"/>
        <v/>
      </c>
      <c r="P4604" s="62"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6" t="s">
        <v>68</v>
      </c>
      <c r="C4605" s="70">
        <v>45946</v>
      </c>
      <c r="D4605" s="120" t="str">
        <f>VLOOKUP(B4605,辅助信息!E:K,7,FALSE)</f>
        <v>JWDDCD2025052800131</v>
      </c>
      <c r="E4605" s="120" t="str">
        <f>VLOOKUP(F4605,辅助信息!A:B,2,FALSE)</f>
        <v>螺纹钢</v>
      </c>
      <c r="F4605" s="120" t="s">
        <v>33</v>
      </c>
      <c r="G4605" s="121">
        <v>21</v>
      </c>
      <c r="H4605" s="134"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0" t="str">
        <f>VLOOKUP(B4605,辅助信息!E:I,3,FALSE)</f>
        <v>（商投建工达州中医药科技园-2工区-景观桥）达州市通川区达州中医药职业学院犀牛大道北段</v>
      </c>
      <c r="J4605" s="120" t="str">
        <f>VLOOKUP(B4605,辅助信息!E:I,4,FALSE)</f>
        <v>李波</v>
      </c>
      <c r="K4605" s="120">
        <f>VLOOKUP(J4605,辅助信息!H:I,2,FALSE)</f>
        <v>18381899787</v>
      </c>
      <c r="L4605" s="122" t="str">
        <f>VLOOKUP(B4605,辅助信息!E:J,6,FALSE)</f>
        <v>控制炉批号！多了现场不收！,优先安排达钢,提前联系到场规格及数量</v>
      </c>
      <c r="O4605" s="62" t="str">
        <f ca="1" t="shared" si="226"/>
        <v/>
      </c>
      <c r="P4605" s="62"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6" t="s">
        <v>68</v>
      </c>
      <c r="C4606" s="70">
        <v>45946</v>
      </c>
      <c r="D4606" s="120" t="str">
        <f>VLOOKUP(B4606,辅助信息!E:K,7,FALSE)</f>
        <v>JWDDCD2025052800131</v>
      </c>
      <c r="E4606" s="120" t="str">
        <f>VLOOKUP(F4606,辅助信息!A:B,2,FALSE)</f>
        <v>螺纹钢</v>
      </c>
      <c r="F4606" s="120" t="s">
        <v>18</v>
      </c>
      <c r="G4606" s="121">
        <v>10</v>
      </c>
      <c r="H4606" s="134"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0" t="str">
        <f>VLOOKUP(B4606,辅助信息!E:I,3,FALSE)</f>
        <v>（商投建工达州中医药科技园-2工区-景观桥）达州市通川区达州中医药职业学院犀牛大道北段</v>
      </c>
      <c r="J4606" s="120" t="str">
        <f>VLOOKUP(B4606,辅助信息!E:I,4,FALSE)</f>
        <v>李波</v>
      </c>
      <c r="K4606" s="120">
        <f>VLOOKUP(J4606,辅助信息!H:I,2,FALSE)</f>
        <v>18381899787</v>
      </c>
      <c r="L4606" s="122" t="str">
        <f>VLOOKUP(B4606,辅助信息!E:J,6,FALSE)</f>
        <v>控制炉批号！多了现场不收！,优先安排达钢,提前联系到场规格及数量</v>
      </c>
      <c r="O4606" s="62" t="str">
        <f ca="1" t="shared" si="226"/>
        <v/>
      </c>
      <c r="P4606" s="62"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6" t="s">
        <v>203</v>
      </c>
      <c r="C4607" s="70">
        <v>45946</v>
      </c>
      <c r="D4607" s="120" t="str">
        <f>VLOOKUP(B4607,辅助信息!E:K,7,FALSE)</f>
        <v>JWDDCD2025102100479</v>
      </c>
      <c r="E4607" s="120" t="str">
        <f>VLOOKUP(F4607,辅助信息!A:B,2,FALSE)</f>
        <v>高线</v>
      </c>
      <c r="F4607" s="120" t="s">
        <v>57</v>
      </c>
      <c r="G4607" s="121">
        <v>4</v>
      </c>
      <c r="H4607" s="134"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0" t="str">
        <f>VLOOKUP(B4607,辅助信息!E:I,3,FALSE)</f>
        <v>(五冶建设空港兴城怡心街道83亩项目)成都市双流区怡心街道高峰社区一组剑和路一段空港兴城怡心街道83亩项目中国五冶项目部</v>
      </c>
      <c r="J4607" s="120" t="str">
        <f>VLOOKUP(B4607,辅助信息!E:I,4,FALSE)</f>
        <v>王刚</v>
      </c>
      <c r="K4607" s="120">
        <f>VLOOKUP(J4607,辅助信息!H:I,2,FALSE)</f>
        <v>15881190525</v>
      </c>
      <c r="L4607" s="122"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2" t="str">
        <f ca="1" t="shared" si="226"/>
        <v/>
      </c>
      <c r="P4607" s="62"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6" t="s">
        <v>203</v>
      </c>
      <c r="C4608" s="70">
        <v>45946</v>
      </c>
      <c r="D4608" s="120" t="str">
        <f>VLOOKUP(B4608,辅助信息!E:K,7,FALSE)</f>
        <v>JWDDCD2025102100479</v>
      </c>
      <c r="E4608" s="120" t="str">
        <f>VLOOKUP(F4608,辅助信息!A:B,2,FALSE)</f>
        <v>盘螺</v>
      </c>
      <c r="F4608" s="120" t="s">
        <v>49</v>
      </c>
      <c r="G4608" s="121">
        <v>4</v>
      </c>
      <c r="H4608" s="134"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0" t="str">
        <f>VLOOKUP(B4608,辅助信息!E:I,3,FALSE)</f>
        <v>(五冶建设空港兴城怡心街道83亩项目)成都市双流区怡心街道高峰社区一组剑和路一段空港兴城怡心街道83亩项目中国五冶项目部</v>
      </c>
      <c r="J4608" s="120" t="str">
        <f>VLOOKUP(B4608,辅助信息!E:I,4,FALSE)</f>
        <v>王刚</v>
      </c>
      <c r="K4608" s="120">
        <f>VLOOKUP(J4608,辅助信息!H:I,2,FALSE)</f>
        <v>15881190525</v>
      </c>
      <c r="L4608" s="122"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2" t="str">
        <f ca="1" t="shared" si="226"/>
        <v/>
      </c>
      <c r="P4608" s="62"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6" t="s">
        <v>203</v>
      </c>
      <c r="C4609" s="70">
        <v>45946</v>
      </c>
      <c r="D4609" s="120" t="str">
        <f>VLOOKUP(B4609,辅助信息!E:K,7,FALSE)</f>
        <v>JWDDCD2025102100479</v>
      </c>
      <c r="E4609" s="120" t="str">
        <f>VLOOKUP(F4609,辅助信息!A:B,2,FALSE)</f>
        <v>螺纹钢</v>
      </c>
      <c r="F4609" s="120" t="s">
        <v>19</v>
      </c>
      <c r="G4609" s="121">
        <v>8</v>
      </c>
      <c r="H4609" s="134"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0" t="str">
        <f>VLOOKUP(B4609,辅助信息!E:I,3,FALSE)</f>
        <v>(五冶建设空港兴城怡心街道83亩项目)成都市双流区怡心街道高峰社区一组剑和路一段空港兴城怡心街道83亩项目中国五冶项目部</v>
      </c>
      <c r="J4609" s="120" t="str">
        <f>VLOOKUP(B4609,辅助信息!E:I,4,FALSE)</f>
        <v>王刚</v>
      </c>
      <c r="K4609" s="120">
        <f>VLOOKUP(J4609,辅助信息!H:I,2,FALSE)</f>
        <v>15881190525</v>
      </c>
      <c r="L4609" s="122"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2" t="str">
        <f ca="1" t="shared" si="226"/>
        <v/>
      </c>
      <c r="P4609" s="62"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6" t="s">
        <v>203</v>
      </c>
      <c r="C4610" s="70">
        <v>45946</v>
      </c>
      <c r="D4610" s="120" t="str">
        <f>VLOOKUP(B4610,辅助信息!E:K,7,FALSE)</f>
        <v>JWDDCD2025102100479</v>
      </c>
      <c r="E4610" s="120" t="str">
        <f>VLOOKUP(F4610,辅助信息!A:B,2,FALSE)</f>
        <v>螺纹钢</v>
      </c>
      <c r="F4610" s="120" t="s">
        <v>32</v>
      </c>
      <c r="G4610" s="121">
        <v>8</v>
      </c>
      <c r="H4610" s="134"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0" t="str">
        <f>VLOOKUP(B4610,辅助信息!E:I,3,FALSE)</f>
        <v>(五冶建设空港兴城怡心街道83亩项目)成都市双流区怡心街道高峰社区一组剑和路一段空港兴城怡心街道83亩项目中国五冶项目部</v>
      </c>
      <c r="J4610" s="120" t="str">
        <f>VLOOKUP(B4610,辅助信息!E:I,4,FALSE)</f>
        <v>王刚</v>
      </c>
      <c r="K4610" s="120">
        <f>VLOOKUP(J4610,辅助信息!H:I,2,FALSE)</f>
        <v>15881190525</v>
      </c>
      <c r="L4610" s="122"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2" t="str">
        <f ca="1" t="shared" si="226"/>
        <v/>
      </c>
      <c r="P4610" s="62"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6" t="s">
        <v>203</v>
      </c>
      <c r="C4611" s="70">
        <v>45946</v>
      </c>
      <c r="D4611" s="120" t="str">
        <f>VLOOKUP(B4611,辅助信息!E:K,7,FALSE)</f>
        <v>JWDDCD2025102100479</v>
      </c>
      <c r="E4611" s="120" t="str">
        <f>VLOOKUP(F4611,辅助信息!A:B,2,FALSE)</f>
        <v>螺纹钢</v>
      </c>
      <c r="F4611" s="120" t="s">
        <v>33</v>
      </c>
      <c r="G4611" s="121">
        <v>10</v>
      </c>
      <c r="H4611" s="134"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0" t="str">
        <f>VLOOKUP(B4611,辅助信息!E:I,3,FALSE)</f>
        <v>(五冶建设空港兴城怡心街道83亩项目)成都市双流区怡心街道高峰社区一组剑和路一段空港兴城怡心街道83亩项目中国五冶项目部</v>
      </c>
      <c r="J4611" s="120" t="str">
        <f>VLOOKUP(B4611,辅助信息!E:I,4,FALSE)</f>
        <v>王刚</v>
      </c>
      <c r="K4611" s="120">
        <f>VLOOKUP(J4611,辅助信息!H:I,2,FALSE)</f>
        <v>15881190525</v>
      </c>
      <c r="L4611" s="122"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2" t="str">
        <f ca="1" t="shared" si="226"/>
        <v/>
      </c>
      <c r="P4611" s="62"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6" t="s">
        <v>240</v>
      </c>
      <c r="C4612" s="70">
        <v>45946</v>
      </c>
      <c r="D4612" s="120" t="str">
        <f>VLOOKUP(B4612,辅助信息!E:K,7,FALSE)</f>
        <v>JWDDCD2025092400204</v>
      </c>
      <c r="E4612" s="120" t="str">
        <f>VLOOKUP(F4612,辅助信息!A:B,2,FALSE)</f>
        <v>高线</v>
      </c>
      <c r="F4612" s="120" t="s">
        <v>53</v>
      </c>
      <c r="G4612" s="121">
        <v>2.5</v>
      </c>
      <c r="H4612" s="134"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0" t="str">
        <f>VLOOKUP(B4612,辅助信息!E:I,3,FALSE)</f>
        <v>(五冶钢构龙泉东洪片区70亩住宅、商业及配套工程项目三标段)成都市龙泉驿外东洪路地铁2号线惠王陵地铁C口</v>
      </c>
      <c r="J4612" s="120" t="str">
        <f>VLOOKUP(B4612,辅助信息!E:I,4,FALSE)</f>
        <v>蒋嗣伟</v>
      </c>
      <c r="K4612" s="120">
        <f>VLOOKUP(J4612,辅助信息!H:I,2,FALSE)</f>
        <v>15014331252</v>
      </c>
      <c r="L4612" s="122">
        <f>VLOOKUP(B4612,辅助信息!E:J,6,FALSE)</f>
        <v>0</v>
      </c>
      <c r="O4612" s="62" t="str">
        <f ca="1" t="shared" si="226"/>
        <v/>
      </c>
      <c r="P4612" s="62"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6" t="s">
        <v>240</v>
      </c>
      <c r="C4613" s="70">
        <v>45946</v>
      </c>
      <c r="D4613" s="120" t="str">
        <f>VLOOKUP(B4613,辅助信息!E:K,7,FALSE)</f>
        <v>JWDDCD2025092400204</v>
      </c>
      <c r="E4613" s="120" t="str">
        <f>VLOOKUP(F4613,辅助信息!A:B,2,FALSE)</f>
        <v>盘螺</v>
      </c>
      <c r="F4613" s="120" t="s">
        <v>41</v>
      </c>
      <c r="G4613" s="121">
        <v>15</v>
      </c>
      <c r="H4613" s="134"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0" t="str">
        <f>VLOOKUP(B4613,辅助信息!E:I,3,FALSE)</f>
        <v>(五冶钢构龙泉东洪片区70亩住宅、商业及配套工程项目三标段)成都市龙泉驿外东洪路地铁2号线惠王陵地铁C口</v>
      </c>
      <c r="J4613" s="120" t="str">
        <f>VLOOKUP(B4613,辅助信息!E:I,4,FALSE)</f>
        <v>蒋嗣伟</v>
      </c>
      <c r="K4613" s="120">
        <f>VLOOKUP(J4613,辅助信息!H:I,2,FALSE)</f>
        <v>15014331252</v>
      </c>
      <c r="L4613" s="122">
        <f>VLOOKUP(B4613,辅助信息!E:J,6,FALSE)</f>
        <v>0</v>
      </c>
      <c r="O4613" s="62" t="str">
        <f ca="1" t="shared" si="226"/>
        <v/>
      </c>
      <c r="P4613" s="62"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6" t="s">
        <v>240</v>
      </c>
      <c r="C4614" s="70">
        <v>45946</v>
      </c>
      <c r="D4614" s="120" t="str">
        <f>VLOOKUP(B4614,辅助信息!E:K,7,FALSE)</f>
        <v>JWDDCD2025092400204</v>
      </c>
      <c r="E4614" s="120" t="str">
        <f>VLOOKUP(F4614,辅助信息!A:B,2,FALSE)</f>
        <v>盘螺</v>
      </c>
      <c r="F4614" s="120" t="s">
        <v>49</v>
      </c>
      <c r="G4614" s="121">
        <v>5</v>
      </c>
      <c r="H4614" s="134"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0" t="str">
        <f>VLOOKUP(B4614,辅助信息!E:I,3,FALSE)</f>
        <v>(五冶钢构龙泉东洪片区70亩住宅、商业及配套工程项目三标段)成都市龙泉驿外东洪路地铁2号线惠王陵地铁C口</v>
      </c>
      <c r="J4614" s="120" t="str">
        <f>VLOOKUP(B4614,辅助信息!E:I,4,FALSE)</f>
        <v>蒋嗣伟</v>
      </c>
      <c r="K4614" s="120">
        <f>VLOOKUP(J4614,辅助信息!H:I,2,FALSE)</f>
        <v>15014331252</v>
      </c>
      <c r="L4614" s="122">
        <f>VLOOKUP(B4614,辅助信息!E:J,6,FALSE)</f>
        <v>0</v>
      </c>
      <c r="O4614" s="62" t="str">
        <f ca="1" t="shared" si="226"/>
        <v/>
      </c>
      <c r="P4614" s="62"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6" t="s">
        <v>240</v>
      </c>
      <c r="C4615" s="70">
        <v>45946</v>
      </c>
      <c r="D4615" s="120" t="str">
        <f>VLOOKUP(B4615,辅助信息!E:K,7,FALSE)</f>
        <v>JWDDCD2025092400204</v>
      </c>
      <c r="E4615" s="120" t="str">
        <f>VLOOKUP(F4615,辅助信息!A:B,2,FALSE)</f>
        <v>盘螺</v>
      </c>
      <c r="F4615" s="120" t="s">
        <v>40</v>
      </c>
      <c r="G4615" s="121">
        <v>10</v>
      </c>
      <c r="H4615" s="134"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0" t="str">
        <f>VLOOKUP(B4615,辅助信息!E:I,3,FALSE)</f>
        <v>(五冶钢构龙泉东洪片区70亩住宅、商业及配套工程项目三标段)成都市龙泉驿外东洪路地铁2号线惠王陵地铁C口</v>
      </c>
      <c r="J4615" s="120" t="str">
        <f>VLOOKUP(B4615,辅助信息!E:I,4,FALSE)</f>
        <v>蒋嗣伟</v>
      </c>
      <c r="K4615" s="120">
        <f>VLOOKUP(J4615,辅助信息!H:I,2,FALSE)</f>
        <v>15014331252</v>
      </c>
      <c r="L4615" s="122">
        <f>VLOOKUP(B4615,辅助信息!E:J,6,FALSE)</f>
        <v>0</v>
      </c>
      <c r="O4615" s="62" t="str">
        <f ca="1" t="shared" si="226"/>
        <v/>
      </c>
      <c r="P4615" s="62"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6" t="s">
        <v>229</v>
      </c>
      <c r="C4616" s="70">
        <v>45946</v>
      </c>
      <c r="D4616" s="120" t="str">
        <f>VLOOKUP(B4616,辅助信息!E:K,7,FALSE)</f>
        <v>JWDDCD2025092400212</v>
      </c>
      <c r="E4616" s="120" t="str">
        <f>VLOOKUP(F4616,辅助信息!A:B,2,FALSE)</f>
        <v>螺纹钢</v>
      </c>
      <c r="F4616" s="120" t="s">
        <v>27</v>
      </c>
      <c r="G4616" s="121">
        <v>60</v>
      </c>
      <c r="H4616" s="134">
        <f>IF(SUMIFS('[1]2025年已发货'!$E:$E,'[1]2025年已发货'!$F:$F,C4616,'[1]2025年已发货'!$C:$C,F4616,'[1]2025年已发货'!$G:$G,I4616,'[1]2025年已发货'!$H:$H,J4616)=0,"未发货",SUMIFS('[1]2025年已发货'!$E:$E,'[1]2025年已发货'!$F:$F,C4616,'[1]2025年已发货'!$C:$C,F4616,'[1]2025年已发货'!$G:$G,I4616,'[1]2025年已发货'!$H:$H,J4616))</f>
        <v>60</v>
      </c>
      <c r="I4616" s="120" t="str">
        <f>VLOOKUP(B4616,辅助信息!E:I,3,FALSE)</f>
        <v>(五冶钢构龙泉东洪片区85亩住宅、商业及配套工程项目三标段)成都市龙泉驿外东洪路地铁2号线惠王陵地铁C口</v>
      </c>
      <c r="J4616" s="120" t="str">
        <f>VLOOKUP(B4616,辅助信息!E:I,4,FALSE)</f>
        <v>王军宝</v>
      </c>
      <c r="K4616" s="120">
        <f>VLOOKUP(J4616,辅助信息!H:I,2,FALSE)</f>
        <v>13889142392</v>
      </c>
      <c r="L4616" s="122">
        <f>VLOOKUP(B4616,辅助信息!E:J,6,FALSE)</f>
        <v>0</v>
      </c>
      <c r="O4616" s="62" t="str">
        <f ca="1" t="shared" si="226"/>
        <v/>
      </c>
      <c r="P4616" s="62"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6" t="s">
        <v>229</v>
      </c>
      <c r="C4617" s="70">
        <v>45946</v>
      </c>
      <c r="D4617" s="120" t="str">
        <f>VLOOKUP(B4617,辅助信息!E:K,7,FALSE)</f>
        <v>JWDDCD2025092400212</v>
      </c>
      <c r="E4617" s="120" t="str">
        <f>VLOOKUP(F4617,辅助信息!A:B,2,FALSE)</f>
        <v>螺纹钢</v>
      </c>
      <c r="F4617" s="120" t="s">
        <v>19</v>
      </c>
      <c r="G4617" s="121">
        <v>38</v>
      </c>
      <c r="H4617" s="134">
        <f>IF(SUMIFS('[1]2025年已发货'!$E:$E,'[1]2025年已发货'!$F:$F,C4617,'[1]2025年已发货'!$C:$C,F4617,'[1]2025年已发货'!$G:$G,I4617,'[1]2025年已发货'!$H:$H,J4617)=0,"未发货",SUMIFS('[1]2025年已发货'!$E:$E,'[1]2025年已发货'!$F:$F,C4617,'[1]2025年已发货'!$C:$C,F4617,'[1]2025年已发货'!$G:$G,I4617,'[1]2025年已发货'!$H:$H,J4617))</f>
        <v>38</v>
      </c>
      <c r="I4617" s="120" t="str">
        <f>VLOOKUP(B4617,辅助信息!E:I,3,FALSE)</f>
        <v>(五冶钢构龙泉东洪片区85亩住宅、商业及配套工程项目三标段)成都市龙泉驿外东洪路地铁2号线惠王陵地铁C口</v>
      </c>
      <c r="J4617" s="120" t="str">
        <f>VLOOKUP(B4617,辅助信息!E:I,4,FALSE)</f>
        <v>王军宝</v>
      </c>
      <c r="K4617" s="120">
        <f>VLOOKUP(J4617,辅助信息!H:I,2,FALSE)</f>
        <v>13889142392</v>
      </c>
      <c r="L4617" s="122">
        <f>VLOOKUP(B4617,辅助信息!E:J,6,FALSE)</f>
        <v>0</v>
      </c>
      <c r="O4617" s="62" t="str">
        <f ca="1" t="shared" si="226"/>
        <v/>
      </c>
      <c r="P4617" s="62"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6" t="s">
        <v>229</v>
      </c>
      <c r="C4618" s="70">
        <v>45946</v>
      </c>
      <c r="D4618" s="120" t="str">
        <f>VLOOKUP(B4618,辅助信息!E:K,7,FALSE)</f>
        <v>JWDDCD2025092400212</v>
      </c>
      <c r="E4618" s="120" t="str">
        <f>VLOOKUP(F4618,辅助信息!A:B,2,FALSE)</f>
        <v>螺纹钢</v>
      </c>
      <c r="F4618" s="120" t="s">
        <v>33</v>
      </c>
      <c r="G4618" s="121">
        <v>20</v>
      </c>
      <c r="H4618" s="134">
        <f>IF(SUMIFS('[1]2025年已发货'!$E:$E,'[1]2025年已发货'!$F:$F,C4618,'[1]2025年已发货'!$C:$C,F4618,'[1]2025年已发货'!$G:$G,I4618,'[1]2025年已发货'!$H:$H,J4618)=0,"未发货",SUMIFS('[1]2025年已发货'!$E:$E,'[1]2025年已发货'!$F:$F,C4618,'[1]2025年已发货'!$C:$C,F4618,'[1]2025年已发货'!$G:$G,I4618,'[1]2025年已发货'!$H:$H,J4618))</f>
        <v>20</v>
      </c>
      <c r="I4618" s="120" t="str">
        <f>VLOOKUP(B4618,辅助信息!E:I,3,FALSE)</f>
        <v>(五冶钢构龙泉东洪片区85亩住宅、商业及配套工程项目三标段)成都市龙泉驿外东洪路地铁2号线惠王陵地铁C口</v>
      </c>
      <c r="J4618" s="120" t="str">
        <f>VLOOKUP(B4618,辅助信息!E:I,4,FALSE)</f>
        <v>王军宝</v>
      </c>
      <c r="K4618" s="120">
        <f>VLOOKUP(J4618,辅助信息!H:I,2,FALSE)</f>
        <v>13889142392</v>
      </c>
      <c r="L4618" s="122">
        <f>VLOOKUP(B4618,辅助信息!E:J,6,FALSE)</f>
        <v>0</v>
      </c>
      <c r="O4618" s="62" t="str">
        <f ca="1" t="shared" si="226"/>
        <v/>
      </c>
      <c r="P4618" s="62"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6" t="s">
        <v>229</v>
      </c>
      <c r="C4619" s="70">
        <v>45946</v>
      </c>
      <c r="D4619" s="120" t="str">
        <f>VLOOKUP(B4619,辅助信息!E:K,7,FALSE)</f>
        <v>JWDDCD2025092400212</v>
      </c>
      <c r="E4619" s="120" t="str">
        <f>VLOOKUP(F4619,辅助信息!A:B,2,FALSE)</f>
        <v>螺纹钢</v>
      </c>
      <c r="F4619" s="120" t="s">
        <v>28</v>
      </c>
      <c r="G4619" s="121">
        <v>24</v>
      </c>
      <c r="H4619" s="134">
        <f>IF(SUMIFS('[1]2025年已发货'!$E:$E,'[1]2025年已发货'!$F:$F,C4619,'[1]2025年已发货'!$C:$C,F4619,'[1]2025年已发货'!$G:$G,I4619,'[1]2025年已发货'!$H:$H,J4619)=0,"未发货",SUMIFS('[1]2025年已发货'!$E:$E,'[1]2025年已发货'!$F:$F,C4619,'[1]2025年已发货'!$C:$C,F4619,'[1]2025年已发货'!$G:$G,I4619,'[1]2025年已发货'!$H:$H,J4619))</f>
        <v>24</v>
      </c>
      <c r="I4619" s="120" t="str">
        <f>VLOOKUP(B4619,辅助信息!E:I,3,FALSE)</f>
        <v>(五冶钢构龙泉东洪片区85亩住宅、商业及配套工程项目三标段)成都市龙泉驿外东洪路地铁2号线惠王陵地铁C口</v>
      </c>
      <c r="J4619" s="120" t="str">
        <f>VLOOKUP(B4619,辅助信息!E:I,4,FALSE)</f>
        <v>王军宝</v>
      </c>
      <c r="K4619" s="120">
        <f>VLOOKUP(J4619,辅助信息!H:I,2,FALSE)</f>
        <v>13889142392</v>
      </c>
      <c r="L4619" s="122">
        <f>VLOOKUP(B4619,辅助信息!E:J,6,FALSE)</f>
        <v>0</v>
      </c>
      <c r="O4619" s="62" t="str">
        <f ca="1" t="shared" si="226"/>
        <v/>
      </c>
      <c r="P4619" s="62"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6" t="s">
        <v>229</v>
      </c>
      <c r="C4620" s="70">
        <v>45946</v>
      </c>
      <c r="D4620" s="120" t="str">
        <f>VLOOKUP(B4620,辅助信息!E:K,7,FALSE)</f>
        <v>JWDDCD2025092400212</v>
      </c>
      <c r="E4620" s="120" t="str">
        <f>VLOOKUP(F4620,辅助信息!A:B,2,FALSE)</f>
        <v>螺纹钢</v>
      </c>
      <c r="F4620" s="120" t="s">
        <v>18</v>
      </c>
      <c r="G4620" s="121">
        <v>4</v>
      </c>
      <c r="H4620" s="134">
        <f>IF(SUMIFS('[1]2025年已发货'!$E:$E,'[1]2025年已发货'!$F:$F,C4620,'[1]2025年已发货'!$C:$C,F4620,'[1]2025年已发货'!$G:$G,I4620,'[1]2025年已发货'!$H:$H,J4620)=0,"未发货",SUMIFS('[1]2025年已发货'!$E:$E,'[1]2025年已发货'!$F:$F,C4620,'[1]2025年已发货'!$C:$C,F4620,'[1]2025年已发货'!$G:$G,I4620,'[1]2025年已发货'!$H:$H,J4620))</f>
        <v>4</v>
      </c>
      <c r="I4620" s="120" t="str">
        <f>VLOOKUP(B4620,辅助信息!E:I,3,FALSE)</f>
        <v>(五冶钢构龙泉东洪片区85亩住宅、商业及配套工程项目三标段)成都市龙泉驿外东洪路地铁2号线惠王陵地铁C口</v>
      </c>
      <c r="J4620" s="120" t="str">
        <f>VLOOKUP(B4620,辅助信息!E:I,4,FALSE)</f>
        <v>王军宝</v>
      </c>
      <c r="K4620" s="120">
        <f>VLOOKUP(J4620,辅助信息!H:I,2,FALSE)</f>
        <v>13889142392</v>
      </c>
      <c r="L4620" s="122">
        <f>VLOOKUP(B4620,辅助信息!E:J,6,FALSE)</f>
        <v>0</v>
      </c>
      <c r="O4620" s="62" t="str">
        <f ca="1" t="shared" si="226"/>
        <v/>
      </c>
      <c r="P4620" s="62"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6" t="s">
        <v>229</v>
      </c>
      <c r="C4621" s="70">
        <v>45946</v>
      </c>
      <c r="D4621" s="120" t="str">
        <f>VLOOKUP(B4621,辅助信息!E:K,7,FALSE)</f>
        <v>JWDDCD2025092400212</v>
      </c>
      <c r="E4621" s="120" t="str">
        <f>VLOOKUP(F4621,辅助信息!A:B,2,FALSE)</f>
        <v>盘螺</v>
      </c>
      <c r="F4621" s="120" t="s">
        <v>41</v>
      </c>
      <c r="G4621" s="121">
        <v>62</v>
      </c>
      <c r="H4621" s="134"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0" t="str">
        <f>VLOOKUP(B4621,辅助信息!E:I,3,FALSE)</f>
        <v>(五冶钢构龙泉东洪片区85亩住宅、商业及配套工程项目三标段)成都市龙泉驿外东洪路地铁2号线惠王陵地铁C口</v>
      </c>
      <c r="J4621" s="120" t="str">
        <f>VLOOKUP(B4621,辅助信息!E:I,4,FALSE)</f>
        <v>王军宝</v>
      </c>
      <c r="K4621" s="120">
        <f>VLOOKUP(J4621,辅助信息!H:I,2,FALSE)</f>
        <v>13889142392</v>
      </c>
      <c r="L4621" s="122">
        <f>VLOOKUP(B4621,辅助信息!E:J,6,FALSE)</f>
        <v>0</v>
      </c>
      <c r="O4621" s="62" t="str">
        <f ca="1" t="shared" si="226"/>
        <v/>
      </c>
      <c r="P4621" s="62"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6" t="s">
        <v>229</v>
      </c>
      <c r="C4622" s="70">
        <v>45946</v>
      </c>
      <c r="D4622" s="120" t="str">
        <f>VLOOKUP(B4622,辅助信息!E:K,7,FALSE)</f>
        <v>JWDDCD2025092400212</v>
      </c>
      <c r="E4622" s="120" t="str">
        <f>VLOOKUP(F4622,辅助信息!A:B,2,FALSE)</f>
        <v>盘螺</v>
      </c>
      <c r="F4622" s="120" t="s">
        <v>49</v>
      </c>
      <c r="G4622" s="121">
        <v>6</v>
      </c>
      <c r="H4622" s="134"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0" t="str">
        <f>VLOOKUP(B4622,辅助信息!E:I,3,FALSE)</f>
        <v>(五冶钢构龙泉东洪片区85亩住宅、商业及配套工程项目三标段)成都市龙泉驿外东洪路地铁2号线惠王陵地铁C口</v>
      </c>
      <c r="J4622" s="120" t="str">
        <f>VLOOKUP(B4622,辅助信息!E:I,4,FALSE)</f>
        <v>王军宝</v>
      </c>
      <c r="K4622" s="120">
        <f>VLOOKUP(J4622,辅助信息!H:I,2,FALSE)</f>
        <v>13889142392</v>
      </c>
      <c r="L4622" s="122">
        <f>VLOOKUP(B4622,辅助信息!E:J,6,FALSE)</f>
        <v>0</v>
      </c>
      <c r="O4622" s="62" t="str">
        <f ca="1" t="shared" si="226"/>
        <v/>
      </c>
      <c r="P4622" s="62"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6" t="s">
        <v>229</v>
      </c>
      <c r="C4623" s="70">
        <v>45946</v>
      </c>
      <c r="D4623" s="120" t="str">
        <f>VLOOKUP(B4623,辅助信息!E:K,7,FALSE)</f>
        <v>JWDDCD2025092400212</v>
      </c>
      <c r="E4623" s="120" t="str">
        <f>VLOOKUP(F4623,辅助信息!A:B,2,FALSE)</f>
        <v>盘螺</v>
      </c>
      <c r="F4623" s="120" t="s">
        <v>40</v>
      </c>
      <c r="G4623" s="121">
        <v>109</v>
      </c>
      <c r="H4623" s="134"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0" t="str">
        <f>VLOOKUP(B4623,辅助信息!E:I,3,FALSE)</f>
        <v>(五冶钢构龙泉东洪片区85亩住宅、商业及配套工程项目三标段)成都市龙泉驿外东洪路地铁2号线惠王陵地铁C口</v>
      </c>
      <c r="J4623" s="120" t="str">
        <f>VLOOKUP(B4623,辅助信息!E:I,4,FALSE)</f>
        <v>王军宝</v>
      </c>
      <c r="K4623" s="120">
        <f>VLOOKUP(J4623,辅助信息!H:I,2,FALSE)</f>
        <v>13889142392</v>
      </c>
      <c r="L4623" s="122">
        <f>VLOOKUP(B4623,辅助信息!E:J,6,FALSE)</f>
        <v>0</v>
      </c>
      <c r="O4623" s="62" t="str">
        <f ca="1" t="shared" si="226"/>
        <v/>
      </c>
      <c r="P4623" s="62"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6" t="s">
        <v>225</v>
      </c>
      <c r="C4624" s="70">
        <v>45946</v>
      </c>
      <c r="D4624" s="120" t="str">
        <f>VLOOKUP(B4624,辅助信息!E:K,7,FALSE)</f>
        <v>JWDDCD2025092400210</v>
      </c>
      <c r="E4624" s="120" t="str">
        <f>VLOOKUP(F4624,辅助信息!A:B,2,FALSE)</f>
        <v>盘螺</v>
      </c>
      <c r="F4624" s="120" t="s">
        <v>26</v>
      </c>
      <c r="G4624" s="121">
        <v>14</v>
      </c>
      <c r="H4624" s="134"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0" t="str">
        <f>VLOOKUP(B4624,辅助信息!E:I,3,FALSE)</f>
        <v>(五冶钢构龙泉东洪片区85亩住宅、商业及配套工程项目一标段)成都市龙泉驿外东洪路地铁2号线惠王陵地铁C口</v>
      </c>
      <c r="J4624" s="120" t="str">
        <f>VLOOKUP(B4624,辅助信息!E:I,4,FALSE)</f>
        <v>岳工</v>
      </c>
      <c r="K4624" s="120">
        <f>VLOOKUP(J4624,辅助信息!H:I,2,FALSE)</f>
        <v>18599951655</v>
      </c>
      <c r="L4624" s="122">
        <f>VLOOKUP(B4624,辅助信息!E:J,6,FALSE)</f>
        <v>0</v>
      </c>
      <c r="O4624" s="62" t="str">
        <f ca="1" t="shared" si="226"/>
        <v/>
      </c>
      <c r="P4624" s="62"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5" t="s">
        <v>194</v>
      </c>
      <c r="C4625" s="70">
        <v>45946</v>
      </c>
      <c r="D4625" s="40" t="str">
        <f>VLOOKUP(B4625,辅助信息!E:K,7,FALSE)</f>
        <v>JWDD2025071500089</v>
      </c>
      <c r="E4625" s="40" t="str">
        <f>VLOOKUP(F4625,辅助信息!A:B,2,FALSE)</f>
        <v>螺纹钢</v>
      </c>
      <c r="F4625" s="40" t="s">
        <v>32</v>
      </c>
      <c r="G4625" s="36">
        <v>20</v>
      </c>
      <c r="H4625" s="134">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09" t="str">
        <f>VLOOKUP(B4625,辅助信息!E:J,6,FALSE)</f>
        <v>现场要求调度统一联系指定收货人，不单独发司机位置。锈货不收，装货前联系收货人核实到场规格,没提前告知进场规格现场不给予接收</v>
      </c>
      <c r="O4625" s="62" t="str">
        <f ca="1" t="shared" si="226"/>
        <v/>
      </c>
      <c r="P4625" s="62"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5" t="s">
        <v>194</v>
      </c>
      <c r="C4626" s="70">
        <v>45946</v>
      </c>
      <c r="D4626" s="40" t="str">
        <f>VLOOKUP(B4626,辅助信息!E:K,7,FALSE)</f>
        <v>JWDD2025071500089</v>
      </c>
      <c r="E4626" s="40" t="str">
        <f>VLOOKUP(F4626,辅助信息!A:B,2,FALSE)</f>
        <v>螺纹钢</v>
      </c>
      <c r="F4626" s="40" t="s">
        <v>30</v>
      </c>
      <c r="G4626" s="36">
        <v>40</v>
      </c>
      <c r="H4626" s="134">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09" t="str">
        <f>VLOOKUP(B4626,辅助信息!E:J,6,FALSE)</f>
        <v>现场要求调度统一联系指定收货人，不单独发司机位置。锈货不收，装货前联系收货人核实到场规格,没提前告知进场规格现场不给予接收</v>
      </c>
      <c r="O4626" s="62" t="str">
        <f ca="1" t="shared" si="226"/>
        <v/>
      </c>
      <c r="P4626" s="62"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5" t="s">
        <v>194</v>
      </c>
      <c r="C4627" s="70">
        <v>45946</v>
      </c>
      <c r="D4627" s="40" t="str">
        <f>VLOOKUP(B4627,辅助信息!E:K,7,FALSE)</f>
        <v>JWDD2025071500089</v>
      </c>
      <c r="E4627" s="40" t="str">
        <f>VLOOKUP(F4627,辅助信息!A:B,2,FALSE)</f>
        <v>螺纹钢</v>
      </c>
      <c r="F4627" s="40" t="s">
        <v>33</v>
      </c>
      <c r="G4627" s="36">
        <v>10</v>
      </c>
      <c r="H4627" s="134">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09" t="str">
        <f>VLOOKUP(B4627,辅助信息!E:J,6,FALSE)</f>
        <v>现场要求调度统一联系指定收货人，不单独发司机位置。锈货不收，装货前联系收货人核实到场规格,没提前告知进场规格现场不给予接收</v>
      </c>
      <c r="O4627" s="62" t="str">
        <f ca="1" t="shared" si="226"/>
        <v/>
      </c>
      <c r="P4627" s="62"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5" t="s">
        <v>194</v>
      </c>
      <c r="C4628" s="70">
        <v>45946</v>
      </c>
      <c r="D4628" s="40" t="str">
        <f>VLOOKUP(B4628,辅助信息!E:K,7,FALSE)</f>
        <v>JWDD2025071500089</v>
      </c>
      <c r="E4628" s="40" t="str">
        <f>VLOOKUP(F4628,辅助信息!A:B,2,FALSE)</f>
        <v>螺纹钢</v>
      </c>
      <c r="F4628" s="40" t="s">
        <v>28</v>
      </c>
      <c r="G4628" s="36">
        <v>25</v>
      </c>
      <c r="H4628" s="134">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09" t="str">
        <f>VLOOKUP(B4628,辅助信息!E:J,6,FALSE)</f>
        <v>现场要求调度统一联系指定收货人，不单独发司机位置。锈货不收，装货前联系收货人核实到场规格,没提前告知进场规格现场不给予接收</v>
      </c>
      <c r="O4628" s="62" t="str">
        <f ca="1" t="shared" si="226"/>
        <v/>
      </c>
      <c r="P4628" s="62"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5" t="s">
        <v>194</v>
      </c>
      <c r="C4629" s="70">
        <v>45946</v>
      </c>
      <c r="D4629" s="40" t="str">
        <f>VLOOKUP(B4629,辅助信息!E:K,7,FALSE)</f>
        <v>JWDD2025071500089</v>
      </c>
      <c r="E4629" s="40" t="str">
        <f>VLOOKUP(F4629,辅助信息!A:B,2,FALSE)</f>
        <v>螺纹钢</v>
      </c>
      <c r="F4629" s="40" t="s">
        <v>18</v>
      </c>
      <c r="G4629" s="36">
        <v>45</v>
      </c>
      <c r="H4629" s="134">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09" t="str">
        <f>VLOOKUP(B4629,辅助信息!E:J,6,FALSE)</f>
        <v>现场要求调度统一联系指定收货人，不单独发司机位置。锈货不收，装货前联系收货人核实到场规格,没提前告知进场规格现场不给予接收</v>
      </c>
      <c r="O4629" s="62" t="str">
        <f ca="1" t="shared" si="226"/>
        <v/>
      </c>
      <c r="P4629" s="62"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1" t="s">
        <v>100</v>
      </c>
      <c r="B4630" s="135" t="s">
        <v>177</v>
      </c>
      <c r="C4630" s="70">
        <v>45946</v>
      </c>
      <c r="D4630" s="40" t="str">
        <f>VLOOKUP(B4630,辅助信息!E:K,7,FALSE)</f>
        <v>JWDDCD2025062200016</v>
      </c>
      <c r="E4630" s="40" t="str">
        <f>VLOOKUP(F4630,辅助信息!A:B,2,FALSE)</f>
        <v>高线</v>
      </c>
      <c r="F4630" s="40" t="s">
        <v>57</v>
      </c>
      <c r="G4630" s="36">
        <v>2</v>
      </c>
      <c r="H4630" s="134"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09" t="str">
        <f>VLOOKUP(B4630,辅助信息!E:J,6,FALSE)</f>
        <v>锈货不收！！下雨天钢筋没盖篷布不收！！，装货前联系收货人核实到场规格,没提前告知进场规格现场不给予接收</v>
      </c>
      <c r="O4630" s="62" t="str">
        <f ca="1" t="shared" si="226"/>
        <v/>
      </c>
      <c r="P4630" s="62"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1"/>
      <c r="B4631" s="135" t="s">
        <v>177</v>
      </c>
      <c r="C4631" s="70">
        <v>45946</v>
      </c>
      <c r="D4631" s="40" t="str">
        <f>VLOOKUP(B4631,辅助信息!E:K,7,FALSE)</f>
        <v>JWDDCD2025062200016</v>
      </c>
      <c r="E4631" s="40" t="str">
        <f>VLOOKUP(F4631,辅助信息!A:B,2,FALSE)</f>
        <v>螺纹钢</v>
      </c>
      <c r="F4631" s="40" t="s">
        <v>19</v>
      </c>
      <c r="G4631" s="36">
        <v>6</v>
      </c>
      <c r="H4631" s="134"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09" t="str">
        <f>VLOOKUP(B4631,辅助信息!E:J,6,FALSE)</f>
        <v>锈货不收！！下雨天钢筋没盖篷布不收！！，装货前联系收货人核实到场规格,没提前告知进场规格现场不给予接收</v>
      </c>
      <c r="O4631" s="62" t="str">
        <f ca="1" t="shared" si="226"/>
        <v/>
      </c>
      <c r="P4631" s="62"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1"/>
      <c r="B4632" s="135" t="s">
        <v>177</v>
      </c>
      <c r="C4632" s="70">
        <v>45946</v>
      </c>
      <c r="D4632" s="40" t="str">
        <f>VLOOKUP(B4632,辅助信息!E:K,7,FALSE)</f>
        <v>JWDDCD2025062200016</v>
      </c>
      <c r="E4632" s="40" t="str">
        <f>VLOOKUP(F4632,辅助信息!A:B,2,FALSE)</f>
        <v>螺纹钢</v>
      </c>
      <c r="F4632" s="40" t="s">
        <v>33</v>
      </c>
      <c r="G4632" s="36">
        <v>16</v>
      </c>
      <c r="H4632" s="134"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09" t="str">
        <f>VLOOKUP(B4632,辅助信息!E:J,6,FALSE)</f>
        <v>锈货不收！！下雨天钢筋没盖篷布不收！！，装货前联系收货人核实到场规格,没提前告知进场规格现场不给予接收</v>
      </c>
      <c r="O4632" s="62" t="str">
        <f ca="1" t="shared" si="226"/>
        <v/>
      </c>
      <c r="P4632" s="62"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1"/>
      <c r="B4633" s="135" t="s">
        <v>177</v>
      </c>
      <c r="C4633" s="70">
        <v>45946</v>
      </c>
      <c r="D4633" s="40" t="str">
        <f>VLOOKUP(B4633,辅助信息!E:K,7,FALSE)</f>
        <v>JWDDCD2025062200016</v>
      </c>
      <c r="E4633" s="40" t="str">
        <f>VLOOKUP(F4633,辅助信息!A:B,2,FALSE)</f>
        <v>螺纹钢</v>
      </c>
      <c r="F4633" s="40" t="s">
        <v>18</v>
      </c>
      <c r="G4633" s="36">
        <v>12</v>
      </c>
      <c r="H4633" s="134"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09" t="str">
        <f>VLOOKUP(B4633,辅助信息!E:J,6,FALSE)</f>
        <v>锈货不收！！下雨天钢筋没盖篷布不收！！，装货前联系收货人核实到场规格,没提前告知进场规格现场不给予接收</v>
      </c>
      <c r="O4633" s="62" t="str">
        <f ca="1" t="shared" si="226"/>
        <v/>
      </c>
      <c r="P4633" s="62"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1"/>
      <c r="B4634" s="135" t="s">
        <v>177</v>
      </c>
      <c r="C4634" s="70">
        <v>45946</v>
      </c>
      <c r="D4634" s="40" t="str">
        <f>VLOOKUP(B4634,辅助信息!E:K,7,FALSE)</f>
        <v>JWDDCD2025062200016</v>
      </c>
      <c r="E4634" s="40" t="str">
        <f>VLOOKUP(F4634,辅助信息!A:B,2,FALSE)</f>
        <v>盘螺</v>
      </c>
      <c r="F4634" s="40" t="s">
        <v>41</v>
      </c>
      <c r="G4634" s="36">
        <v>10</v>
      </c>
      <c r="H4634" s="134"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09" t="str">
        <f>VLOOKUP(B4634,辅助信息!E:J,6,FALSE)</f>
        <v>锈货不收！！下雨天钢筋没盖篷布不收！！，装货前联系收货人核实到场规格,没提前告知进场规格现场不给予接收</v>
      </c>
      <c r="O4634" s="62" t="str">
        <f ca="1" t="shared" si="226"/>
        <v/>
      </c>
      <c r="P4634" s="62"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1"/>
      <c r="B4635" s="135" t="s">
        <v>177</v>
      </c>
      <c r="C4635" s="70">
        <v>45946</v>
      </c>
      <c r="D4635" s="40" t="str">
        <f>VLOOKUP(B4635,辅助信息!E:K,7,FALSE)</f>
        <v>JWDDCD2025062200016</v>
      </c>
      <c r="E4635" s="40" t="str">
        <f>VLOOKUP(F4635,辅助信息!A:B,2,FALSE)</f>
        <v>螺纹钢</v>
      </c>
      <c r="F4635" s="40" t="s">
        <v>130</v>
      </c>
      <c r="G4635" s="36">
        <v>26</v>
      </c>
      <c r="H4635" s="134"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09" t="str">
        <f>VLOOKUP(B4635,辅助信息!E:J,6,FALSE)</f>
        <v>锈货不收！！下雨天钢筋没盖篷布不收！！，装货前联系收货人核实到场规格,没提前告知进场规格现场不给予接收</v>
      </c>
      <c r="M4635" s="91">
        <v>45941</v>
      </c>
      <c r="O4635" s="62">
        <f ca="1" t="shared" si="226"/>
        <v>0</v>
      </c>
      <c r="P4635" s="62">
        <f ca="1" t="shared" si="227"/>
        <v>19</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5" t="s">
        <v>163</v>
      </c>
      <c r="C4636" s="70">
        <v>45946</v>
      </c>
      <c r="D4636" s="40" t="str">
        <f>VLOOKUP(B4636,辅助信息!E:K,7,FALSE)</f>
        <v>JWDDCD2025052800131</v>
      </c>
      <c r="E4636" s="40" t="str">
        <f>VLOOKUP(F4636,辅助信息!A:B,2,FALSE)</f>
        <v>螺纹钢</v>
      </c>
      <c r="F4636" s="40" t="s">
        <v>58</v>
      </c>
      <c r="G4636" s="36">
        <v>15</v>
      </c>
      <c r="H4636" s="134"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09" t="str">
        <f>VLOOKUP(B4636,辅助信息!E:J,6,FALSE)</f>
        <v>控制炉批号！多了现场不收！,优先安排达钢,提前联系到场规格及数量</v>
      </c>
      <c r="O4636" s="62" t="str">
        <f ca="1" t="shared" si="226"/>
        <v/>
      </c>
      <c r="P4636" s="62"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5" t="s">
        <v>163</v>
      </c>
      <c r="C4637" s="70">
        <v>45946</v>
      </c>
      <c r="D4637" s="40" t="str">
        <f>VLOOKUP(B4637,辅助信息!E:K,7,FALSE)</f>
        <v>JWDDCD2025052800131</v>
      </c>
      <c r="E4637" s="40" t="str">
        <f>VLOOKUP(F4637,辅助信息!A:B,2,FALSE)</f>
        <v>螺纹钢</v>
      </c>
      <c r="F4637" s="40" t="s">
        <v>46</v>
      </c>
      <c r="G4637" s="36">
        <v>12</v>
      </c>
      <c r="H4637" s="134"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09" t="str">
        <f>VLOOKUP(B4637,辅助信息!E:J,6,FALSE)</f>
        <v>控制炉批号！多了现场不收！,优先安排达钢,提前联系到场规格及数量</v>
      </c>
      <c r="O4637" s="62" t="str">
        <f ca="1" t="shared" si="226"/>
        <v/>
      </c>
      <c r="P4637" s="62"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5" t="s">
        <v>163</v>
      </c>
      <c r="C4638" s="70">
        <v>45946</v>
      </c>
      <c r="D4638" s="40" t="str">
        <f>VLOOKUP(B4638,辅助信息!E:K,7,FALSE)</f>
        <v>JWDDCD2025052800131</v>
      </c>
      <c r="E4638" s="40" t="str">
        <f>VLOOKUP(F4638,辅助信息!A:B,2,FALSE)</f>
        <v>螺纹钢</v>
      </c>
      <c r="F4638" s="40" t="s">
        <v>22</v>
      </c>
      <c r="G4638" s="36">
        <v>9</v>
      </c>
      <c r="H4638" s="134"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09" t="str">
        <f>VLOOKUP(B4638,辅助信息!E:J,6,FALSE)</f>
        <v>控制炉批号！多了现场不收！,优先安排达钢,提前联系到场规格及数量</v>
      </c>
      <c r="O4638" s="62" t="str">
        <f ca="1" t="shared" si="226"/>
        <v/>
      </c>
      <c r="P4638" s="62"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5" t="s">
        <v>163</v>
      </c>
      <c r="C4639" s="70">
        <v>45946</v>
      </c>
      <c r="D4639" s="40" t="str">
        <f>VLOOKUP(B4639,辅助信息!E:K,7,FALSE)</f>
        <v>JWDDCD2025052800131</v>
      </c>
      <c r="E4639" s="40" t="str">
        <f>VLOOKUP(F4639,辅助信息!A:B,2,FALSE)</f>
        <v>螺纹钢</v>
      </c>
      <c r="F4639" s="40" t="s">
        <v>32</v>
      </c>
      <c r="G4639" s="36">
        <v>3</v>
      </c>
      <c r="H4639" s="134"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09" t="str">
        <f>VLOOKUP(B4639,辅助信息!E:J,6,FALSE)</f>
        <v>控制炉批号！多了现场不收！,优先安排达钢,提前联系到场规格及数量</v>
      </c>
      <c r="O4639" s="62" t="str">
        <f ca="1" t="shared" si="226"/>
        <v/>
      </c>
      <c r="P4639" s="62"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5" t="s">
        <v>163</v>
      </c>
      <c r="C4640" s="70">
        <v>45946</v>
      </c>
      <c r="D4640" s="40" t="str">
        <f>VLOOKUP(B4640,辅助信息!E:K,7,FALSE)</f>
        <v>JWDDCD2025052800131</v>
      </c>
      <c r="E4640" s="40" t="str">
        <f>VLOOKUP(F4640,辅助信息!A:B,2,FALSE)</f>
        <v>螺纹钢</v>
      </c>
      <c r="F4640" s="40" t="s">
        <v>30</v>
      </c>
      <c r="G4640" s="36">
        <v>9</v>
      </c>
      <c r="H4640" s="134"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09" t="str">
        <f>VLOOKUP(B4640,辅助信息!E:J,6,FALSE)</f>
        <v>控制炉批号！多了现场不收！,优先安排达钢,提前联系到场规格及数量</v>
      </c>
      <c r="O4640" s="62" t="str">
        <f ca="1" t="shared" ref="O4640:O4703" si="228">IF(OR(M4640="",N4640&lt;&gt;""),"",MAX(M4640-TODAY(),0))</f>
        <v/>
      </c>
      <c r="P4640" s="62"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5" t="s">
        <v>163</v>
      </c>
      <c r="C4641" s="70">
        <v>45946</v>
      </c>
      <c r="D4641" s="40" t="str">
        <f>VLOOKUP(B4641,辅助信息!E:K,7,FALSE)</f>
        <v>JWDDCD2025052800131</v>
      </c>
      <c r="E4641" s="40" t="str">
        <f>VLOOKUP(F4641,辅助信息!A:B,2,FALSE)</f>
        <v>螺纹钢</v>
      </c>
      <c r="F4641" s="40" t="s">
        <v>33</v>
      </c>
      <c r="G4641" s="36">
        <v>6</v>
      </c>
      <c r="H4641" s="134"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09" t="str">
        <f>VLOOKUP(B4641,辅助信息!E:J,6,FALSE)</f>
        <v>控制炉批号！多了现场不收！,优先安排达钢,提前联系到场规格及数量</v>
      </c>
      <c r="O4641" s="62" t="str">
        <f ca="1" t="shared" si="228"/>
        <v/>
      </c>
      <c r="P4641" s="62"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5" t="s">
        <v>163</v>
      </c>
      <c r="C4642" s="70">
        <v>45946</v>
      </c>
      <c r="D4642" s="40" t="str">
        <f>VLOOKUP(B4642,辅助信息!E:K,7,FALSE)</f>
        <v>JWDDCD2025052800131</v>
      </c>
      <c r="E4642" s="40" t="str">
        <f>VLOOKUP(F4642,辅助信息!A:B,2,FALSE)</f>
        <v>螺纹钢</v>
      </c>
      <c r="F4642" s="40" t="s">
        <v>28</v>
      </c>
      <c r="G4642" s="36">
        <v>9</v>
      </c>
      <c r="H4642" s="134"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09" t="str">
        <f>VLOOKUP(B4642,辅助信息!E:J,6,FALSE)</f>
        <v>控制炉批号！多了现场不收！,优先安排达钢,提前联系到场规格及数量</v>
      </c>
      <c r="O4642" s="62" t="str">
        <f ca="1" t="shared" si="228"/>
        <v/>
      </c>
      <c r="P4642" s="62"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5" t="s">
        <v>163</v>
      </c>
      <c r="C4643" s="70">
        <v>45946</v>
      </c>
      <c r="D4643" s="40" t="str">
        <f>VLOOKUP(B4643,辅助信息!E:K,7,FALSE)</f>
        <v>JWDDCD2025052800131</v>
      </c>
      <c r="E4643" s="40" t="str">
        <f>VLOOKUP(F4643,辅助信息!A:B,2,FALSE)</f>
        <v>螺纹钢</v>
      </c>
      <c r="F4643" s="40" t="s">
        <v>18</v>
      </c>
      <c r="G4643" s="36">
        <v>9</v>
      </c>
      <c r="H4643" s="134"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09" t="str">
        <f>VLOOKUP(B4643,辅助信息!E:J,6,FALSE)</f>
        <v>控制炉批号！多了现场不收！,优先安排达钢,提前联系到场规格及数量</v>
      </c>
      <c r="O4643" s="62" t="str">
        <f ca="1" t="shared" si="228"/>
        <v/>
      </c>
      <c r="P4643" s="62"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5" t="s">
        <v>228</v>
      </c>
      <c r="C4644" s="70">
        <v>45946</v>
      </c>
      <c r="D4644" s="40" t="str">
        <f>VLOOKUP(B4644,辅助信息!E:K,7,FALSE)</f>
        <v>JWDDCD2025092400190</v>
      </c>
      <c r="E4644" s="40" t="str">
        <f>VLOOKUP(F4644,辅助信息!A:B,2,FALSE)</f>
        <v>盘螺</v>
      </c>
      <c r="F4644" s="40" t="s">
        <v>40</v>
      </c>
      <c r="G4644" s="36">
        <v>60</v>
      </c>
      <c r="H4644" s="134">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09">
        <f>VLOOKUP(B4644,辅助信息!E:J,6,FALSE)</f>
        <v>0</v>
      </c>
      <c r="O4644" s="62" t="str">
        <f ca="1" t="shared" si="228"/>
        <v/>
      </c>
      <c r="P4644" s="62"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5" t="s">
        <v>228</v>
      </c>
      <c r="C4645" s="70">
        <v>45946</v>
      </c>
      <c r="D4645" s="40" t="str">
        <f>VLOOKUP(B4645,辅助信息!E:K,7,FALSE)</f>
        <v>JWDDCD2025092400190</v>
      </c>
      <c r="E4645" s="40" t="str">
        <f>VLOOKUP(F4645,辅助信息!A:B,2,FALSE)</f>
        <v>盘螺</v>
      </c>
      <c r="F4645" s="40" t="s">
        <v>41</v>
      </c>
      <c r="G4645" s="36">
        <v>50</v>
      </c>
      <c r="H4645" s="134"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09">
        <f>VLOOKUP(B4645,辅助信息!E:J,6,FALSE)</f>
        <v>0</v>
      </c>
      <c r="O4645" s="62" t="str">
        <f ca="1" t="shared" si="228"/>
        <v/>
      </c>
      <c r="P4645" s="62"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5" t="s">
        <v>228</v>
      </c>
      <c r="C4646" s="70">
        <v>45946</v>
      </c>
      <c r="D4646" s="40" t="str">
        <f>VLOOKUP(B4646,辅助信息!E:K,7,FALSE)</f>
        <v>JWDDCD2025092400190</v>
      </c>
      <c r="E4646" s="40" t="str">
        <f>VLOOKUP(F4646,辅助信息!A:B,2,FALSE)</f>
        <v>螺纹钢</v>
      </c>
      <c r="F4646" s="40" t="s">
        <v>27</v>
      </c>
      <c r="G4646" s="36">
        <v>20</v>
      </c>
      <c r="H4646" s="134">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09">
        <f>VLOOKUP(B4646,辅助信息!E:J,6,FALSE)</f>
        <v>0</v>
      </c>
      <c r="O4646" s="62" t="str">
        <f ca="1" t="shared" si="228"/>
        <v/>
      </c>
      <c r="P4646" s="62"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5" t="s">
        <v>228</v>
      </c>
      <c r="C4647" s="70">
        <v>45946</v>
      </c>
      <c r="D4647" s="40" t="str">
        <f>VLOOKUP(B4647,辅助信息!E:K,7,FALSE)</f>
        <v>JWDDCD2025092400190</v>
      </c>
      <c r="E4647" s="40" t="str">
        <f>VLOOKUP(F4647,辅助信息!A:B,2,FALSE)</f>
        <v>螺纹钢</v>
      </c>
      <c r="F4647" s="40" t="s">
        <v>33</v>
      </c>
      <c r="G4647" s="36">
        <v>15</v>
      </c>
      <c r="H4647" s="134">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09">
        <f>VLOOKUP(B4647,辅助信息!E:J,6,FALSE)</f>
        <v>0</v>
      </c>
      <c r="O4647" s="62" t="str">
        <f ca="1" t="shared" si="228"/>
        <v/>
      </c>
      <c r="P4647" s="62"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5" t="s">
        <v>228</v>
      </c>
      <c r="C4648" s="70">
        <v>45946</v>
      </c>
      <c r="D4648" s="40" t="str">
        <f>VLOOKUP(B4648,辅助信息!E:K,7,FALSE)</f>
        <v>JWDDCD2025092400190</v>
      </c>
      <c r="E4648" s="40" t="str">
        <f>VLOOKUP(F4648,辅助信息!A:B,2,FALSE)</f>
        <v>螺纹钢</v>
      </c>
      <c r="F4648" s="40" t="s">
        <v>46</v>
      </c>
      <c r="G4648" s="36">
        <v>15</v>
      </c>
      <c r="H4648" s="134">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09">
        <f>VLOOKUP(B4648,辅助信息!E:J,6,FALSE)</f>
        <v>0</v>
      </c>
      <c r="O4648" s="62" t="str">
        <f ca="1" t="shared" si="228"/>
        <v/>
      </c>
      <c r="P4648" s="62"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5" t="s">
        <v>228</v>
      </c>
      <c r="C4649" s="70">
        <v>45946</v>
      </c>
      <c r="D4649" s="40" t="str">
        <f>VLOOKUP(B4649,辅助信息!E:K,7,FALSE)</f>
        <v>JWDDCD2025092400190</v>
      </c>
      <c r="E4649" s="40" t="str">
        <f>VLOOKUP(F4649,辅助信息!A:B,2,FALSE)</f>
        <v>螺纹钢</v>
      </c>
      <c r="F4649" s="40" t="s">
        <v>22</v>
      </c>
      <c r="G4649" s="36">
        <v>15</v>
      </c>
      <c r="H4649" s="134">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09">
        <f>VLOOKUP(B4649,辅助信息!E:J,6,FALSE)</f>
        <v>0</v>
      </c>
      <c r="O4649" s="62" t="str">
        <f ca="1" t="shared" si="228"/>
        <v/>
      </c>
      <c r="P4649" s="62"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1" t="s">
        <v>100</v>
      </c>
      <c r="B4650" s="135" t="s">
        <v>188</v>
      </c>
      <c r="C4650" s="70">
        <v>45946</v>
      </c>
      <c r="D4650" s="40" t="str">
        <f>VLOOKUP(B4650,辅助信息!E:K,7,FALSE)</f>
        <v>JWDDCD2025062200016</v>
      </c>
      <c r="E4650" s="40" t="str">
        <f>VLOOKUP(F4650,辅助信息!A:B,2,FALSE)</f>
        <v>盘螺</v>
      </c>
      <c r="F4650" s="40" t="s">
        <v>40</v>
      </c>
      <c r="G4650" s="36">
        <v>12.5</v>
      </c>
      <c r="H4650" s="134"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09" t="str">
        <f>VLOOKUP(B4650,辅助信息!E:J,6,FALSE)</f>
        <v>锈货不收！！下雨天钢筋没盖篷布不收！！，装货前联系收货人核实到场规格,没提前告知进场规格现场不给予接收</v>
      </c>
      <c r="O4650" s="62" t="str">
        <f ca="1" t="shared" si="228"/>
        <v/>
      </c>
      <c r="P4650" s="62"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1"/>
      <c r="B4651" s="135" t="s">
        <v>188</v>
      </c>
      <c r="C4651" s="70">
        <v>45946</v>
      </c>
      <c r="D4651" s="40" t="str">
        <f>VLOOKUP(B4651,辅助信息!E:K,7,FALSE)</f>
        <v>JWDDCD2025062200016</v>
      </c>
      <c r="E4651" s="40" t="str">
        <f>VLOOKUP(F4651,辅助信息!A:B,2,FALSE)</f>
        <v>盘螺</v>
      </c>
      <c r="F4651" s="40" t="s">
        <v>41</v>
      </c>
      <c r="G4651" s="36">
        <v>12.5</v>
      </c>
      <c r="H4651" s="134"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09" t="str">
        <f>VLOOKUP(B4651,辅助信息!E:J,6,FALSE)</f>
        <v>锈货不收！！下雨天钢筋没盖篷布不收！！，装货前联系收货人核实到场规格,没提前告知进场规格现场不给予接收</v>
      </c>
      <c r="O4651" s="62" t="str">
        <f ca="1" t="shared" si="228"/>
        <v/>
      </c>
      <c r="P4651" s="62"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1"/>
      <c r="B4652" s="135" t="s">
        <v>188</v>
      </c>
      <c r="C4652" s="70">
        <v>45946</v>
      </c>
      <c r="D4652" s="40" t="str">
        <f>VLOOKUP(B4652,辅助信息!E:K,7,FALSE)</f>
        <v>JWDDCD2025062200016</v>
      </c>
      <c r="E4652" s="40" t="str">
        <f>VLOOKUP(F4652,辅助信息!A:B,2,FALSE)</f>
        <v>螺纹钢</v>
      </c>
      <c r="F4652" s="40" t="s">
        <v>18</v>
      </c>
      <c r="G4652" s="36">
        <v>10</v>
      </c>
      <c r="H4652" s="134"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09" t="str">
        <f>VLOOKUP(B4652,辅助信息!E:J,6,FALSE)</f>
        <v>锈货不收！！下雨天钢筋没盖篷布不收！！，装货前联系收货人核实到场规格,没提前告知进场规格现场不给予接收</v>
      </c>
      <c r="O4652" s="62" t="str">
        <f ca="1" t="shared" si="228"/>
        <v/>
      </c>
      <c r="P4652" s="62"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5" t="s">
        <v>150</v>
      </c>
      <c r="C4653" s="70">
        <v>45946</v>
      </c>
      <c r="D4653" s="40" t="str">
        <f>VLOOKUP(B4653,辅助信息!E:K,7,FALSE)</f>
        <v>JWDDCD2025050800101</v>
      </c>
      <c r="E4653" s="40" t="str">
        <f>VLOOKUP(F4653,辅助信息!A:B,2,FALSE)</f>
        <v>盘螺</v>
      </c>
      <c r="F4653" s="40" t="s">
        <v>41</v>
      </c>
      <c r="G4653" s="36">
        <v>20</v>
      </c>
      <c r="H4653" s="134"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09" t="str">
        <f>VLOOKUP(B4653,辅助信息!E:J,6,FALSE)</f>
        <v>装货前联系收货人核实到场规格，货物最下面用方木垫下方便卸货</v>
      </c>
      <c r="O4653" s="62" t="str">
        <f ca="1" t="shared" si="228"/>
        <v/>
      </c>
      <c r="P4653" s="62"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5" t="s">
        <v>150</v>
      </c>
      <c r="C4654" s="70">
        <v>45946</v>
      </c>
      <c r="D4654" s="40" t="str">
        <f>VLOOKUP(B4654,辅助信息!E:K,7,FALSE)</f>
        <v>JWDDCD2025050800101</v>
      </c>
      <c r="E4654" s="40" t="str">
        <f>VLOOKUP(F4654,辅助信息!A:B,2,FALSE)</f>
        <v>盘螺</v>
      </c>
      <c r="F4654" s="40" t="s">
        <v>26</v>
      </c>
      <c r="G4654" s="36">
        <v>35</v>
      </c>
      <c r="H4654" s="134"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09" t="str">
        <f>VLOOKUP(B4654,辅助信息!E:J,6,FALSE)</f>
        <v>装货前联系收货人核实到场规格，货物最下面用方木垫下方便卸货</v>
      </c>
      <c r="O4654" s="62" t="str">
        <f ca="1" t="shared" si="228"/>
        <v/>
      </c>
      <c r="P4654" s="62"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5" t="s">
        <v>150</v>
      </c>
      <c r="C4655" s="70">
        <v>45946</v>
      </c>
      <c r="D4655" s="40" t="str">
        <f>VLOOKUP(B4655,辅助信息!E:K,7,FALSE)</f>
        <v>JWDDCD2025050800101</v>
      </c>
      <c r="E4655" s="40" t="str">
        <f>VLOOKUP(F4655,辅助信息!A:B,2,FALSE)</f>
        <v>螺纹钢</v>
      </c>
      <c r="F4655" s="40" t="s">
        <v>32</v>
      </c>
      <c r="G4655" s="36">
        <v>9</v>
      </c>
      <c r="H4655" s="134"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09" t="str">
        <f>VLOOKUP(B4655,辅助信息!E:J,6,FALSE)</f>
        <v>装货前联系收货人核实到场规格，货物最下面用方木垫下方便卸货</v>
      </c>
      <c r="O4655" s="62" t="str">
        <f ca="1" t="shared" si="228"/>
        <v/>
      </c>
      <c r="P4655" s="62"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5" t="s">
        <v>150</v>
      </c>
      <c r="C4656" s="70">
        <v>45946</v>
      </c>
      <c r="D4656" s="40" t="str">
        <f>VLOOKUP(B4656,辅助信息!E:K,7,FALSE)</f>
        <v>JWDDCD2025050800101</v>
      </c>
      <c r="E4656" s="40" t="str">
        <f>VLOOKUP(F4656,辅助信息!A:B,2,FALSE)</f>
        <v>螺纹钢</v>
      </c>
      <c r="F4656" s="40" t="s">
        <v>28</v>
      </c>
      <c r="G4656" s="36">
        <v>6</v>
      </c>
      <c r="H4656" s="134"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09" t="str">
        <f>VLOOKUP(B4656,辅助信息!E:J,6,FALSE)</f>
        <v>装货前联系收货人核实到场规格，货物最下面用方木垫下方便卸货</v>
      </c>
      <c r="O4656" s="62" t="str">
        <f ca="1" t="shared" si="228"/>
        <v/>
      </c>
      <c r="P4656" s="62"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6" t="s">
        <v>232</v>
      </c>
      <c r="C4657" s="70">
        <v>45950</v>
      </c>
      <c r="D4657" s="120" t="str">
        <f>VLOOKUP(B4657,辅助信息!E:K,7,FALSE)</f>
        <v>JWDDCD2025052800131</v>
      </c>
      <c r="E4657" s="120" t="str">
        <f>VLOOKUP(F4657,辅助信息!A:B,2,FALSE)</f>
        <v>螺纹钢</v>
      </c>
      <c r="F4657" s="131" t="s">
        <v>21</v>
      </c>
      <c r="G4657" s="130">
        <v>20</v>
      </c>
      <c r="H4657" s="134">
        <f>IF(SUMIFS('[1]2025年已发货'!$E:$E,'[1]2025年已发货'!$F:$F,C4657,'[1]2025年已发货'!$C:$C,F4657,'[1]2025年已发货'!$G:$G,I4657,'[1]2025年已发货'!$H:$H,J4657)=0,"未发货",SUMIFS('[1]2025年已发货'!$E:$E,'[1]2025年已发货'!$F:$F,C4657,'[1]2025年已发货'!$C:$C,F4657,'[1]2025年已发货'!$G:$G,I4657,'[1]2025年已发货'!$H:$H,J4657))</f>
        <v>5</v>
      </c>
      <c r="I4657" s="120" t="str">
        <f>VLOOKUP(B4657,辅助信息!E:I,3,FALSE)</f>
        <v>（商投建工达州中医药科技园-2工区-2号桥）达州市通川区达州中医药职业学院犀牛大道北段</v>
      </c>
      <c r="J4657" s="120" t="str">
        <f>VLOOKUP(B4657,辅助信息!E:I,4,FALSE)</f>
        <v>李波</v>
      </c>
      <c r="K4657" s="120">
        <f>VLOOKUP(J4657,辅助信息!H:I,2,FALSE)</f>
        <v>18381899787</v>
      </c>
      <c r="L4657" s="122" t="str">
        <f>VLOOKUP(B4657,辅助信息!E:J,6,FALSE)</f>
        <v>控制炉批号！多了现场不收！,优先安排达钢,提前联系到场规格及数量</v>
      </c>
      <c r="M4657" s="91">
        <v>45944</v>
      </c>
      <c r="O4657" s="62">
        <f ca="1" t="shared" si="228"/>
        <v>0</v>
      </c>
      <c r="P4657" s="62">
        <f ca="1" t="shared" si="229"/>
        <v>16</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6" t="s">
        <v>232</v>
      </c>
      <c r="C4658" s="70">
        <v>45950</v>
      </c>
      <c r="D4658" s="120" t="str">
        <f>VLOOKUP(B4658,辅助信息!E:K,7,FALSE)</f>
        <v>JWDDCD2025052800131</v>
      </c>
      <c r="E4658" s="120" t="str">
        <f>VLOOKUP(F4658,辅助信息!A:B,2,FALSE)</f>
        <v>螺纹钢</v>
      </c>
      <c r="F4658" s="131" t="s">
        <v>58</v>
      </c>
      <c r="G4658" s="130">
        <v>20</v>
      </c>
      <c r="H4658" s="134">
        <f>IF(SUMIFS('[1]2025年已发货'!$E:$E,'[1]2025年已发货'!$F:$F,C4658,'[1]2025年已发货'!$C:$C,F4658,'[1]2025年已发货'!$G:$G,I4658,'[1]2025年已发货'!$H:$H,J4658)=0,"未发货",SUMIFS('[1]2025年已发货'!$E:$E,'[1]2025年已发货'!$F:$F,C4658,'[1]2025年已发货'!$C:$C,F4658,'[1]2025年已发货'!$G:$G,I4658,'[1]2025年已发货'!$H:$H,J4658))</f>
        <v>20</v>
      </c>
      <c r="I4658" s="120" t="str">
        <f>VLOOKUP(B4658,辅助信息!E:I,3,FALSE)</f>
        <v>（商投建工达州中医药科技园-2工区-2号桥）达州市通川区达州中医药职业学院犀牛大道北段</v>
      </c>
      <c r="J4658" s="120" t="str">
        <f>VLOOKUP(B4658,辅助信息!E:I,4,FALSE)</f>
        <v>李波</v>
      </c>
      <c r="K4658" s="120">
        <f>VLOOKUP(J4658,辅助信息!H:I,2,FALSE)</f>
        <v>18381899787</v>
      </c>
      <c r="L4658" s="122" t="str">
        <f>VLOOKUP(B4658,辅助信息!E:J,6,FALSE)</f>
        <v>控制炉批号！多了现场不收！,优先安排达钢,提前联系到场规格及数量</v>
      </c>
      <c r="M4658" s="91">
        <v>45944</v>
      </c>
      <c r="O4658" s="62">
        <f ca="1" t="shared" si="228"/>
        <v>0</v>
      </c>
      <c r="P4658" s="62">
        <f ca="1" t="shared" si="229"/>
        <v>16</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6" t="s">
        <v>232</v>
      </c>
      <c r="C4659" s="70">
        <v>45950</v>
      </c>
      <c r="D4659" s="120" t="str">
        <f>VLOOKUP(B4659,辅助信息!E:K,7,FALSE)</f>
        <v>JWDDCD2025052800131</v>
      </c>
      <c r="E4659" s="120" t="str">
        <f>VLOOKUP(F4659,辅助信息!A:B,2,FALSE)</f>
        <v>螺纹钢</v>
      </c>
      <c r="F4659" s="131" t="s">
        <v>19</v>
      </c>
      <c r="G4659" s="130">
        <v>6</v>
      </c>
      <c r="H4659" s="134">
        <f>IF(SUMIFS('[1]2025年已发货'!$E:$E,'[1]2025年已发货'!$F:$F,C4659,'[1]2025年已发货'!$C:$C,F4659,'[1]2025年已发货'!$G:$G,I4659,'[1]2025年已发货'!$H:$H,J4659)=0,"未发货",SUMIFS('[1]2025年已发货'!$E:$E,'[1]2025年已发货'!$F:$F,C4659,'[1]2025年已发货'!$C:$C,F4659,'[1]2025年已发货'!$G:$G,I4659,'[1]2025年已发货'!$H:$H,J4659))</f>
        <v>9</v>
      </c>
      <c r="I4659" s="120" t="str">
        <f>VLOOKUP(B4659,辅助信息!E:I,3,FALSE)</f>
        <v>（商投建工达州中医药科技园-2工区-2号桥）达州市通川区达州中医药职业学院犀牛大道北段</v>
      </c>
      <c r="J4659" s="120" t="str">
        <f>VLOOKUP(B4659,辅助信息!E:I,4,FALSE)</f>
        <v>李波</v>
      </c>
      <c r="K4659" s="120">
        <f>VLOOKUP(J4659,辅助信息!H:I,2,FALSE)</f>
        <v>18381899787</v>
      </c>
      <c r="L4659" s="122" t="str">
        <f>VLOOKUP(B4659,辅助信息!E:J,6,FALSE)</f>
        <v>控制炉批号！多了现场不收！,优先安排达钢,提前联系到场规格及数量</v>
      </c>
      <c r="M4659" s="91">
        <v>45944</v>
      </c>
      <c r="O4659" s="62">
        <f ca="1" t="shared" si="228"/>
        <v>0</v>
      </c>
      <c r="P4659" s="62">
        <f ca="1" t="shared" si="229"/>
        <v>16</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6" t="s">
        <v>68</v>
      </c>
      <c r="C4660" s="70">
        <v>45950</v>
      </c>
      <c r="D4660" s="120" t="str">
        <f>VLOOKUP(B4660,辅助信息!E:K,7,FALSE)</f>
        <v>JWDDCD2025052800131</v>
      </c>
      <c r="E4660" s="120" t="str">
        <f>VLOOKUP(F4660,辅助信息!A:B,2,FALSE)</f>
        <v>螺纹钢</v>
      </c>
      <c r="F4660" s="120" t="s">
        <v>30</v>
      </c>
      <c r="G4660" s="121">
        <v>12</v>
      </c>
      <c r="H4660" s="134"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0" t="str">
        <f>VLOOKUP(B4660,辅助信息!E:I,3,FALSE)</f>
        <v>（商投建工达州中医药科技园-2工区-景观桥）达州市通川区达州中医药职业学院犀牛大道北段</v>
      </c>
      <c r="J4660" s="120" t="str">
        <f>VLOOKUP(B4660,辅助信息!E:I,4,FALSE)</f>
        <v>李波</v>
      </c>
      <c r="K4660" s="120">
        <f>VLOOKUP(J4660,辅助信息!H:I,2,FALSE)</f>
        <v>18381899787</v>
      </c>
      <c r="L4660" s="122" t="str">
        <f>VLOOKUP(B4660,辅助信息!E:J,6,FALSE)</f>
        <v>控制炉批号！多了现场不收！,优先安排达钢,提前联系到场规格及数量</v>
      </c>
      <c r="M4660" s="91">
        <v>45944</v>
      </c>
      <c r="O4660" s="62">
        <f ca="1" t="shared" si="228"/>
        <v>0</v>
      </c>
      <c r="P4660" s="62">
        <f ca="1" t="shared" si="229"/>
        <v>16</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6" t="s">
        <v>232</v>
      </c>
      <c r="C4661" s="70">
        <v>45950</v>
      </c>
      <c r="D4661" s="120" t="str">
        <f>VLOOKUP(B4661,辅助信息!E:K,7,FALSE)</f>
        <v>JWDDCD2025052800131</v>
      </c>
      <c r="E4661" s="120" t="str">
        <f>VLOOKUP(F4661,辅助信息!A:B,2,FALSE)</f>
        <v>螺纹钢</v>
      </c>
      <c r="F4661" s="131" t="s">
        <v>33</v>
      </c>
      <c r="G4661" s="130">
        <v>3</v>
      </c>
      <c r="H4661" s="134">
        <f>IF(SUMIFS('[1]2025年已发货'!$E:$E,'[1]2025年已发货'!$F:$F,C4661,'[1]2025年已发货'!$C:$C,F4661,'[1]2025年已发货'!$G:$G,I4661,'[1]2025年已发货'!$H:$H,J4661)=0,"未发货",SUMIFS('[1]2025年已发货'!$E:$E,'[1]2025年已发货'!$F:$F,C4661,'[1]2025年已发货'!$C:$C,F4661,'[1]2025年已发货'!$G:$G,I4661,'[1]2025年已发货'!$H:$H,J4661))</f>
        <v>3</v>
      </c>
      <c r="I4661" s="120" t="str">
        <f>VLOOKUP(B4661,辅助信息!E:I,3,FALSE)</f>
        <v>（商投建工达州中医药科技园-2工区-2号桥）达州市通川区达州中医药职业学院犀牛大道北段</v>
      </c>
      <c r="J4661" s="120" t="str">
        <f>VLOOKUP(B4661,辅助信息!E:I,4,FALSE)</f>
        <v>李波</v>
      </c>
      <c r="K4661" s="120">
        <f>VLOOKUP(J4661,辅助信息!H:I,2,FALSE)</f>
        <v>18381899787</v>
      </c>
      <c r="L4661" s="122" t="str">
        <f>VLOOKUP(B4661,辅助信息!E:J,6,FALSE)</f>
        <v>控制炉批号！多了现场不收！,优先安排达钢,提前联系到场规格及数量</v>
      </c>
      <c r="M4661" s="91">
        <v>45944</v>
      </c>
      <c r="O4661" s="62">
        <f ca="1" t="shared" si="228"/>
        <v>0</v>
      </c>
      <c r="P4661" s="62">
        <f ca="1" t="shared" si="229"/>
        <v>16</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6" t="s">
        <v>68</v>
      </c>
      <c r="C4662" s="70">
        <v>45948</v>
      </c>
      <c r="D4662" s="120" t="str">
        <f>VLOOKUP(B4662,辅助信息!E:K,7,FALSE)</f>
        <v>JWDDCD2025052800131</v>
      </c>
      <c r="E4662" s="120" t="str">
        <f>VLOOKUP(F4662,辅助信息!A:B,2,FALSE)</f>
        <v>螺纹钢</v>
      </c>
      <c r="F4662" s="120" t="s">
        <v>18</v>
      </c>
      <c r="G4662" s="121">
        <v>10</v>
      </c>
      <c r="H4662" s="134">
        <f>IF(SUMIFS('[1]2025年已发货'!$E:$E,'[1]2025年已发货'!$F:$F,C4662,'[1]2025年已发货'!$C:$C,F4662,'[1]2025年已发货'!$G:$G,I4662,'[1]2025年已发货'!$H:$H,J4662)=0,"未发货",SUMIFS('[1]2025年已发货'!$E:$E,'[1]2025年已发货'!$F:$F,C4662,'[1]2025年已发货'!$C:$C,F4662,'[1]2025年已发货'!$G:$G,I4662,'[1]2025年已发货'!$H:$H,J4662))</f>
        <v>10</v>
      </c>
      <c r="I4662" s="120" t="str">
        <f>VLOOKUP(B4662,辅助信息!E:I,3,FALSE)</f>
        <v>（商投建工达州中医药科技园-2工区-景观桥）达州市通川区达州中医药职业学院犀牛大道北段</v>
      </c>
      <c r="J4662" s="120" t="str">
        <f>VLOOKUP(B4662,辅助信息!E:I,4,FALSE)</f>
        <v>李波</v>
      </c>
      <c r="K4662" s="120">
        <f>VLOOKUP(J4662,辅助信息!H:I,2,FALSE)</f>
        <v>18381899787</v>
      </c>
      <c r="L4662" s="122" t="str">
        <f>VLOOKUP(B4662,辅助信息!E:J,6,FALSE)</f>
        <v>控制炉批号！多了现场不收！,优先安排达钢,提前联系到场规格及数量</v>
      </c>
      <c r="O4662" s="62" t="str">
        <f ca="1" t="shared" si="228"/>
        <v/>
      </c>
      <c r="P4662" s="62"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6" t="s">
        <v>203</v>
      </c>
      <c r="C4663" s="70">
        <v>45948</v>
      </c>
      <c r="D4663" s="120" t="str">
        <f>VLOOKUP(B4663,辅助信息!E:K,7,FALSE)</f>
        <v>JWDDCD2025102100479</v>
      </c>
      <c r="E4663" s="120" t="str">
        <f>VLOOKUP(F4663,辅助信息!A:B,2,FALSE)</f>
        <v>螺纹钢</v>
      </c>
      <c r="F4663" s="120" t="s">
        <v>19</v>
      </c>
      <c r="G4663" s="121">
        <v>8</v>
      </c>
      <c r="H4663" s="134">
        <f>IF(SUMIFS('[1]2025年已发货'!$E:$E,'[1]2025年已发货'!$F:$F,C4663,'[1]2025年已发货'!$C:$C,F4663,'[1]2025年已发货'!$G:$G,I4663,'[1]2025年已发货'!$H:$H,J4663)=0,"未发货",SUMIFS('[1]2025年已发货'!$E:$E,'[1]2025年已发货'!$F:$F,C4663,'[1]2025年已发货'!$C:$C,F4663,'[1]2025年已发货'!$G:$G,I4663,'[1]2025年已发货'!$H:$H,J4663))</f>
        <v>11</v>
      </c>
      <c r="I4663" s="120" t="str">
        <f>VLOOKUP(B4663,辅助信息!E:I,3,FALSE)</f>
        <v>(五冶建设空港兴城怡心街道83亩项目)成都市双流区怡心街道高峰社区一组剑和路一段空港兴城怡心街道83亩项目中国五冶项目部</v>
      </c>
      <c r="J4663" s="120" t="str">
        <f>VLOOKUP(B4663,辅助信息!E:I,4,FALSE)</f>
        <v>王刚</v>
      </c>
      <c r="K4663" s="120">
        <f>VLOOKUP(J4663,辅助信息!H:I,2,FALSE)</f>
        <v>15881190525</v>
      </c>
      <c r="L4663" s="122"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2" t="str">
        <f ca="1" t="shared" si="228"/>
        <v/>
      </c>
      <c r="P4663" s="62"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6" t="s">
        <v>203</v>
      </c>
      <c r="C4664" s="70">
        <v>45948</v>
      </c>
      <c r="D4664" s="120" t="str">
        <f>VLOOKUP(B4664,辅助信息!E:K,7,FALSE)</f>
        <v>JWDDCD2025102100479</v>
      </c>
      <c r="E4664" s="120" t="str">
        <f>VLOOKUP(F4664,辅助信息!A:B,2,FALSE)</f>
        <v>螺纹钢</v>
      </c>
      <c r="F4664" s="120" t="s">
        <v>32</v>
      </c>
      <c r="G4664" s="121">
        <v>8</v>
      </c>
      <c r="H4664" s="134">
        <f>IF(SUMIFS('[1]2025年已发货'!$E:$E,'[1]2025年已发货'!$F:$F,C4664,'[1]2025年已发货'!$C:$C,F4664,'[1]2025年已发货'!$G:$G,I4664,'[1]2025年已发货'!$H:$H,J4664)=0,"未发货",SUMIFS('[1]2025年已发货'!$E:$E,'[1]2025年已发货'!$F:$F,C4664,'[1]2025年已发货'!$C:$C,F4664,'[1]2025年已发货'!$G:$G,I4664,'[1]2025年已发货'!$H:$H,J4664))</f>
        <v>11</v>
      </c>
      <c r="I4664" s="120" t="str">
        <f>VLOOKUP(B4664,辅助信息!E:I,3,FALSE)</f>
        <v>(五冶建设空港兴城怡心街道83亩项目)成都市双流区怡心街道高峰社区一组剑和路一段空港兴城怡心街道83亩项目中国五冶项目部</v>
      </c>
      <c r="J4664" s="120" t="str">
        <f>VLOOKUP(B4664,辅助信息!E:I,4,FALSE)</f>
        <v>王刚</v>
      </c>
      <c r="K4664" s="120">
        <f>VLOOKUP(J4664,辅助信息!H:I,2,FALSE)</f>
        <v>15881190525</v>
      </c>
      <c r="L4664" s="122"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2" t="str">
        <f ca="1" t="shared" si="228"/>
        <v/>
      </c>
      <c r="P4664" s="62"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6" t="s">
        <v>203</v>
      </c>
      <c r="C4665" s="70">
        <v>45948</v>
      </c>
      <c r="D4665" s="120" t="str">
        <f>VLOOKUP(B4665,辅助信息!E:K,7,FALSE)</f>
        <v>JWDDCD2025102100479</v>
      </c>
      <c r="E4665" s="120" t="str">
        <f>VLOOKUP(F4665,辅助信息!A:B,2,FALSE)</f>
        <v>螺纹钢</v>
      </c>
      <c r="F4665" s="120" t="s">
        <v>33</v>
      </c>
      <c r="G4665" s="121">
        <v>10</v>
      </c>
      <c r="H4665" s="134">
        <f>IF(SUMIFS('[1]2025年已发货'!$E:$E,'[1]2025年已发货'!$F:$F,C4665,'[1]2025年已发货'!$C:$C,F4665,'[1]2025年已发货'!$G:$G,I4665,'[1]2025年已发货'!$H:$H,J4665)=0,"未发货",SUMIFS('[1]2025年已发货'!$E:$E,'[1]2025年已发货'!$F:$F,C4665,'[1]2025年已发货'!$C:$C,F4665,'[1]2025年已发货'!$G:$G,I4665,'[1]2025年已发货'!$H:$H,J4665))</f>
        <v>13</v>
      </c>
      <c r="I4665" s="120" t="str">
        <f>VLOOKUP(B4665,辅助信息!E:I,3,FALSE)</f>
        <v>(五冶建设空港兴城怡心街道83亩项目)成都市双流区怡心街道高峰社区一组剑和路一段空港兴城怡心街道83亩项目中国五冶项目部</v>
      </c>
      <c r="J4665" s="120" t="str">
        <f>VLOOKUP(B4665,辅助信息!E:I,4,FALSE)</f>
        <v>王刚</v>
      </c>
      <c r="K4665" s="120">
        <f>VLOOKUP(J4665,辅助信息!H:I,2,FALSE)</f>
        <v>15881190525</v>
      </c>
      <c r="L4665" s="122"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2" t="str">
        <f ca="1" t="shared" si="228"/>
        <v/>
      </c>
      <c r="P4665" s="62"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6" t="s">
        <v>240</v>
      </c>
      <c r="C4666" s="70">
        <v>45950</v>
      </c>
      <c r="D4666" s="120" t="str">
        <f>VLOOKUP(B4666,辅助信息!E:K,7,FALSE)</f>
        <v>JWDDCD2025092400204</v>
      </c>
      <c r="E4666" s="120" t="str">
        <f>VLOOKUP(F4666,辅助信息!A:B,2,FALSE)</f>
        <v>高线</v>
      </c>
      <c r="F4666" s="120" t="s">
        <v>53</v>
      </c>
      <c r="G4666" s="121">
        <v>2.5</v>
      </c>
      <c r="H4666" s="134"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0" t="str">
        <f>VLOOKUP(B4666,辅助信息!E:I,3,FALSE)</f>
        <v>(五冶钢构龙泉东洪片区70亩住宅、商业及配套工程项目三标段)成都市龙泉驿外东洪路地铁2号线惠王陵地铁C口</v>
      </c>
      <c r="J4666" s="120" t="str">
        <f>VLOOKUP(B4666,辅助信息!E:I,4,FALSE)</f>
        <v>蒋嗣伟</v>
      </c>
      <c r="K4666" s="120">
        <f>VLOOKUP(J4666,辅助信息!H:I,2,FALSE)</f>
        <v>15014331252</v>
      </c>
      <c r="L4666" s="122">
        <f>VLOOKUP(B4666,辅助信息!E:J,6,FALSE)</f>
        <v>0</v>
      </c>
      <c r="M4666" s="91">
        <v>45948</v>
      </c>
      <c r="O4666" s="62">
        <f ca="1" t="shared" si="228"/>
        <v>0</v>
      </c>
      <c r="P4666" s="62">
        <f ca="1" t="shared" si="229"/>
        <v>12</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6" t="s">
        <v>240</v>
      </c>
      <c r="C4667" s="70">
        <v>45950</v>
      </c>
      <c r="D4667" s="120" t="str">
        <f>VLOOKUP(B4667,辅助信息!E:K,7,FALSE)</f>
        <v>JWDDCD2025092400204</v>
      </c>
      <c r="E4667" s="120" t="str">
        <f>VLOOKUP(F4667,辅助信息!A:B,2,FALSE)</f>
        <v>盘螺</v>
      </c>
      <c r="F4667" s="120" t="s">
        <v>41</v>
      </c>
      <c r="G4667" s="121">
        <v>15</v>
      </c>
      <c r="H4667" s="134"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0" t="str">
        <f>VLOOKUP(B4667,辅助信息!E:I,3,FALSE)</f>
        <v>(五冶钢构龙泉东洪片区70亩住宅、商业及配套工程项目三标段)成都市龙泉驿外东洪路地铁2号线惠王陵地铁C口</v>
      </c>
      <c r="J4667" s="120" t="str">
        <f>VLOOKUP(B4667,辅助信息!E:I,4,FALSE)</f>
        <v>蒋嗣伟</v>
      </c>
      <c r="K4667" s="120">
        <f>VLOOKUP(J4667,辅助信息!H:I,2,FALSE)</f>
        <v>15014331252</v>
      </c>
      <c r="L4667" s="122">
        <f>VLOOKUP(B4667,辅助信息!E:J,6,FALSE)</f>
        <v>0</v>
      </c>
      <c r="M4667" s="91">
        <v>45948</v>
      </c>
      <c r="O4667" s="62">
        <f ca="1" t="shared" si="228"/>
        <v>0</v>
      </c>
      <c r="P4667" s="62">
        <f ca="1" t="shared" si="229"/>
        <v>12</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6" t="s">
        <v>240</v>
      </c>
      <c r="C4668" s="70">
        <v>45950</v>
      </c>
      <c r="D4668" s="120" t="str">
        <f>VLOOKUP(B4668,辅助信息!E:K,7,FALSE)</f>
        <v>JWDDCD2025092400204</v>
      </c>
      <c r="E4668" s="120" t="str">
        <f>VLOOKUP(F4668,辅助信息!A:B,2,FALSE)</f>
        <v>盘螺</v>
      </c>
      <c r="F4668" s="120" t="s">
        <v>49</v>
      </c>
      <c r="G4668" s="121">
        <v>5</v>
      </c>
      <c r="H4668" s="134"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0" t="str">
        <f>VLOOKUP(B4668,辅助信息!E:I,3,FALSE)</f>
        <v>(五冶钢构龙泉东洪片区70亩住宅、商业及配套工程项目三标段)成都市龙泉驿外东洪路地铁2号线惠王陵地铁C口</v>
      </c>
      <c r="J4668" s="120" t="str">
        <f>VLOOKUP(B4668,辅助信息!E:I,4,FALSE)</f>
        <v>蒋嗣伟</v>
      </c>
      <c r="K4668" s="120">
        <f>VLOOKUP(J4668,辅助信息!H:I,2,FALSE)</f>
        <v>15014331252</v>
      </c>
      <c r="L4668" s="122">
        <f>VLOOKUP(B4668,辅助信息!E:J,6,FALSE)</f>
        <v>0</v>
      </c>
      <c r="M4668" s="91">
        <v>45948</v>
      </c>
      <c r="O4668" s="62">
        <f ca="1" t="shared" si="228"/>
        <v>0</v>
      </c>
      <c r="P4668" s="62">
        <f ca="1" t="shared" si="229"/>
        <v>12</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6" t="s">
        <v>240</v>
      </c>
      <c r="C4669" s="70">
        <v>45950</v>
      </c>
      <c r="D4669" s="120" t="str">
        <f>VLOOKUP(B4669,辅助信息!E:K,7,FALSE)</f>
        <v>JWDDCD2025092400204</v>
      </c>
      <c r="E4669" s="120" t="str">
        <f>VLOOKUP(F4669,辅助信息!A:B,2,FALSE)</f>
        <v>盘螺</v>
      </c>
      <c r="F4669" s="120" t="s">
        <v>40</v>
      </c>
      <c r="G4669" s="121">
        <v>10</v>
      </c>
      <c r="H4669" s="134"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0" t="str">
        <f>VLOOKUP(B4669,辅助信息!E:I,3,FALSE)</f>
        <v>(五冶钢构龙泉东洪片区70亩住宅、商业及配套工程项目三标段)成都市龙泉驿外东洪路地铁2号线惠王陵地铁C口</v>
      </c>
      <c r="J4669" s="120" t="str">
        <f>VLOOKUP(B4669,辅助信息!E:I,4,FALSE)</f>
        <v>蒋嗣伟</v>
      </c>
      <c r="K4669" s="120">
        <f>VLOOKUP(J4669,辅助信息!H:I,2,FALSE)</f>
        <v>15014331252</v>
      </c>
      <c r="L4669" s="122">
        <f>VLOOKUP(B4669,辅助信息!E:J,6,FALSE)</f>
        <v>0</v>
      </c>
      <c r="M4669" s="91">
        <v>45948</v>
      </c>
      <c r="O4669" s="62">
        <f ca="1" t="shared" si="228"/>
        <v>0</v>
      </c>
      <c r="P4669" s="62">
        <f ca="1" t="shared" si="229"/>
        <v>12</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6" t="s">
        <v>229</v>
      </c>
      <c r="C4670" s="70">
        <v>45950</v>
      </c>
      <c r="D4670" s="120" t="str">
        <f>VLOOKUP(B4670,辅助信息!E:K,7,FALSE)</f>
        <v>JWDDCD2025092400212</v>
      </c>
      <c r="E4670" s="120" t="str">
        <f>VLOOKUP(F4670,辅助信息!A:B,2,FALSE)</f>
        <v>盘螺</v>
      </c>
      <c r="F4670" s="120" t="s">
        <v>41</v>
      </c>
      <c r="G4670" s="121">
        <v>62</v>
      </c>
      <c r="H4670" s="134">
        <f>IF(SUMIFS('[1]2025年已发货'!$E:$E,'[1]2025年已发货'!$F:$F,C4670,'[1]2025年已发货'!$C:$C,F4670,'[1]2025年已发货'!$G:$G,I4670,'[1]2025年已发货'!$H:$H,J4670)=0,"未发货",SUMIFS('[1]2025年已发货'!$E:$E,'[1]2025年已发货'!$F:$F,C4670,'[1]2025年已发货'!$C:$C,F4670,'[1]2025年已发货'!$G:$G,I4670,'[1]2025年已发货'!$H:$H,J4670))</f>
        <v>28</v>
      </c>
      <c r="I4670" s="120" t="str">
        <f>VLOOKUP(B4670,辅助信息!E:I,3,FALSE)</f>
        <v>(五冶钢构龙泉东洪片区85亩住宅、商业及配套工程项目三标段)成都市龙泉驿外东洪路地铁2号线惠王陵地铁C口</v>
      </c>
      <c r="J4670" s="120" t="str">
        <f>VLOOKUP(B4670,辅助信息!E:I,4,FALSE)</f>
        <v>王军宝</v>
      </c>
      <c r="K4670" s="120">
        <f>VLOOKUP(J4670,辅助信息!H:I,2,FALSE)</f>
        <v>13889142392</v>
      </c>
      <c r="L4670" s="122">
        <f>VLOOKUP(B4670,辅助信息!E:J,6,FALSE)</f>
        <v>0</v>
      </c>
      <c r="M4670" s="91">
        <v>45948</v>
      </c>
      <c r="O4670" s="62">
        <f ca="1" t="shared" si="228"/>
        <v>0</v>
      </c>
      <c r="P4670" s="62">
        <f ca="1" t="shared" si="229"/>
        <v>12</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6" t="s">
        <v>229</v>
      </c>
      <c r="C4671" s="70">
        <v>45950</v>
      </c>
      <c r="D4671" s="120" t="str">
        <f>VLOOKUP(B4671,辅助信息!E:K,7,FALSE)</f>
        <v>JWDDCD2025092400212</v>
      </c>
      <c r="E4671" s="120" t="str">
        <f>VLOOKUP(F4671,辅助信息!A:B,2,FALSE)</f>
        <v>盘螺</v>
      </c>
      <c r="F4671" s="120" t="s">
        <v>49</v>
      </c>
      <c r="G4671" s="121">
        <v>6</v>
      </c>
      <c r="H4671" s="134">
        <f>IF(SUMIFS('[1]2025年已发货'!$E:$E,'[1]2025年已发货'!$F:$F,C4671,'[1]2025年已发货'!$C:$C,F4671,'[1]2025年已发货'!$G:$G,I4671,'[1]2025年已发货'!$H:$H,J4671)=0,"未发货",SUMIFS('[1]2025年已发货'!$E:$E,'[1]2025年已发货'!$F:$F,C4671,'[1]2025年已发货'!$C:$C,F4671,'[1]2025年已发货'!$G:$G,I4671,'[1]2025年已发货'!$H:$H,J4671))</f>
        <v>6</v>
      </c>
      <c r="I4671" s="120" t="str">
        <f>VLOOKUP(B4671,辅助信息!E:I,3,FALSE)</f>
        <v>(五冶钢构龙泉东洪片区85亩住宅、商业及配套工程项目三标段)成都市龙泉驿外东洪路地铁2号线惠王陵地铁C口</v>
      </c>
      <c r="J4671" s="120" t="str">
        <f>VLOOKUP(B4671,辅助信息!E:I,4,FALSE)</f>
        <v>王军宝</v>
      </c>
      <c r="K4671" s="120">
        <f>VLOOKUP(J4671,辅助信息!H:I,2,FALSE)</f>
        <v>13889142392</v>
      </c>
      <c r="L4671" s="122">
        <f>VLOOKUP(B4671,辅助信息!E:J,6,FALSE)</f>
        <v>0</v>
      </c>
      <c r="M4671" s="91">
        <v>45948</v>
      </c>
      <c r="O4671" s="62">
        <f ca="1" t="shared" si="228"/>
        <v>0</v>
      </c>
      <c r="P4671" s="62">
        <f ca="1" t="shared" si="229"/>
        <v>12</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6" t="s">
        <v>229</v>
      </c>
      <c r="C4672" s="70">
        <v>45950</v>
      </c>
      <c r="D4672" s="120" t="str">
        <f>VLOOKUP(B4672,辅助信息!E:K,7,FALSE)</f>
        <v>JWDDCD2025092400212</v>
      </c>
      <c r="E4672" s="120" t="str">
        <f>VLOOKUP(F4672,辅助信息!A:B,2,FALSE)</f>
        <v>盘螺</v>
      </c>
      <c r="F4672" s="120" t="s">
        <v>40</v>
      </c>
      <c r="G4672" s="121">
        <v>109</v>
      </c>
      <c r="H4672" s="134">
        <f>IF(SUMIFS('[1]2025年已发货'!$E:$E,'[1]2025年已发货'!$F:$F,C4672,'[1]2025年已发货'!$C:$C,F4672,'[1]2025年已发货'!$G:$G,I4672,'[1]2025年已发货'!$H:$H,J4672)=0,"未发货",SUMIFS('[1]2025年已发货'!$E:$E,'[1]2025年已发货'!$F:$F,C4672,'[1]2025年已发货'!$C:$C,F4672,'[1]2025年已发货'!$G:$G,I4672,'[1]2025年已发货'!$H:$H,J4672))</f>
        <v>34</v>
      </c>
      <c r="I4672" s="120" t="str">
        <f>VLOOKUP(B4672,辅助信息!E:I,3,FALSE)</f>
        <v>(五冶钢构龙泉东洪片区85亩住宅、商业及配套工程项目三标段)成都市龙泉驿外东洪路地铁2号线惠王陵地铁C口</v>
      </c>
      <c r="J4672" s="120" t="str">
        <f>VLOOKUP(B4672,辅助信息!E:I,4,FALSE)</f>
        <v>王军宝</v>
      </c>
      <c r="K4672" s="120">
        <f>VLOOKUP(J4672,辅助信息!H:I,2,FALSE)</f>
        <v>13889142392</v>
      </c>
      <c r="L4672" s="122">
        <f>VLOOKUP(B4672,辅助信息!E:J,6,FALSE)</f>
        <v>0</v>
      </c>
      <c r="M4672" s="91">
        <v>45948</v>
      </c>
      <c r="O4672" s="62">
        <f ca="1" t="shared" si="228"/>
        <v>0</v>
      </c>
      <c r="P4672" s="62">
        <f ca="1" t="shared" si="229"/>
        <v>12</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6" t="s">
        <v>225</v>
      </c>
      <c r="C4673" s="70">
        <v>45950</v>
      </c>
      <c r="D4673" s="120" t="str">
        <f>VLOOKUP(B4673,辅助信息!E:K,7,FALSE)</f>
        <v>JWDDCD2025092400210</v>
      </c>
      <c r="E4673" s="120" t="str">
        <f>VLOOKUP(F4673,辅助信息!A:B,2,FALSE)</f>
        <v>盘螺</v>
      </c>
      <c r="F4673" s="120" t="s">
        <v>26</v>
      </c>
      <c r="G4673" s="121">
        <v>14</v>
      </c>
      <c r="H4673" s="134">
        <f>IF(SUMIFS('[1]2025年已发货'!$E:$E,'[1]2025年已发货'!$F:$F,C4673,'[1]2025年已发货'!$C:$C,F4673,'[1]2025年已发货'!$G:$G,I4673,'[1]2025年已发货'!$H:$H,J4673)=0,"未发货",SUMIFS('[1]2025年已发货'!$E:$E,'[1]2025年已发货'!$F:$F,C4673,'[1]2025年已发货'!$C:$C,F4673,'[1]2025年已发货'!$G:$G,I4673,'[1]2025年已发货'!$H:$H,J4673))</f>
        <v>14</v>
      </c>
      <c r="I4673" s="120" t="str">
        <f>VLOOKUP(B4673,辅助信息!E:I,3,FALSE)</f>
        <v>(五冶钢构龙泉东洪片区85亩住宅、商业及配套工程项目一标段)成都市龙泉驿外东洪路地铁2号线惠王陵地铁C口</v>
      </c>
      <c r="J4673" s="120" t="str">
        <f>VLOOKUP(B4673,辅助信息!E:I,4,FALSE)</f>
        <v>岳工</v>
      </c>
      <c r="K4673" s="120">
        <f>VLOOKUP(J4673,辅助信息!H:I,2,FALSE)</f>
        <v>18599951655</v>
      </c>
      <c r="L4673" s="122">
        <f>VLOOKUP(B4673,辅助信息!E:J,6,FALSE)</f>
        <v>0</v>
      </c>
      <c r="M4673" s="91">
        <v>45948</v>
      </c>
      <c r="O4673" s="62">
        <f ca="1" t="shared" si="228"/>
        <v>0</v>
      </c>
      <c r="P4673" s="62">
        <f ca="1" t="shared" si="229"/>
        <v>12</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8" t="s">
        <v>100</v>
      </c>
      <c r="B4674" s="136" t="s">
        <v>177</v>
      </c>
      <c r="C4674" s="70">
        <v>45947</v>
      </c>
      <c r="D4674" s="120" t="str">
        <f>VLOOKUP(B4674,辅助信息!E:K,7,FALSE)</f>
        <v>JWDDCD2025062200016</v>
      </c>
      <c r="E4674" s="120" t="str">
        <f>VLOOKUP(F4674,辅助信息!A:B,2,FALSE)</f>
        <v>高线</v>
      </c>
      <c r="F4674" s="120" t="s">
        <v>57</v>
      </c>
      <c r="G4674" s="121">
        <v>2</v>
      </c>
      <c r="H4674" s="134">
        <f>IF(SUMIFS('[1]2025年已发货'!$E:$E,'[1]2025年已发货'!$F:$F,C4674,'[1]2025年已发货'!$C:$C,F4674,'[1]2025年已发货'!$G:$G,I4674,'[1]2025年已发货'!$H:$H,J4674)=0,"未发货",SUMIFS('[1]2025年已发货'!$E:$E,'[1]2025年已发货'!$F:$F,C4674,'[1]2025年已发货'!$C:$C,F4674,'[1]2025年已发货'!$G:$G,I4674,'[1]2025年已发货'!$H:$H,J4674))</f>
        <v>2</v>
      </c>
      <c r="I4674" s="120" t="str">
        <f>VLOOKUP(B4674,辅助信息!E:I,3,FALSE)</f>
        <v>(武汉电气化局成达万高铁强电项目-南充营山)四川省南充市营山县保真路景阳名城南50米(保真路东)</v>
      </c>
      <c r="J4674" s="120" t="str">
        <f>VLOOKUP(B4674,辅助信息!E:I,4,FALSE)</f>
        <v>周开亮</v>
      </c>
      <c r="K4674" s="120">
        <f>VLOOKUP(J4674,辅助信息!H:I,2,FALSE)</f>
        <v>18381485052</v>
      </c>
      <c r="L4674" s="122" t="str">
        <f>VLOOKUP(B4674,辅助信息!E:J,6,FALSE)</f>
        <v>锈货不收！！下雨天钢筋没盖篷布不收！！，装货前联系收货人核实到场规格,没提前告知进场规格现场不给予接收</v>
      </c>
      <c r="O4674" s="62" t="str">
        <f ca="1" t="shared" si="228"/>
        <v/>
      </c>
      <c r="P4674" s="62"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8"/>
      <c r="B4675" s="136" t="s">
        <v>177</v>
      </c>
      <c r="C4675" s="70">
        <v>45947</v>
      </c>
      <c r="D4675" s="120" t="str">
        <f>VLOOKUP(B4675,辅助信息!E:K,7,FALSE)</f>
        <v>JWDDCD2025062200016</v>
      </c>
      <c r="E4675" s="120" t="str">
        <f>VLOOKUP(F4675,辅助信息!A:B,2,FALSE)</f>
        <v>螺纹钢</v>
      </c>
      <c r="F4675" s="120" t="s">
        <v>19</v>
      </c>
      <c r="G4675" s="121">
        <v>6</v>
      </c>
      <c r="H4675" s="134">
        <f>IF(SUMIFS('[1]2025年已发货'!$E:$E,'[1]2025年已发货'!$F:$F,C4675,'[1]2025年已发货'!$C:$C,F4675,'[1]2025年已发货'!$G:$G,I4675,'[1]2025年已发货'!$H:$H,J4675)=0,"未发货",SUMIFS('[1]2025年已发货'!$E:$E,'[1]2025年已发货'!$F:$F,C4675,'[1]2025年已发货'!$C:$C,F4675,'[1]2025年已发货'!$G:$G,I4675,'[1]2025年已发货'!$H:$H,J4675))</f>
        <v>6</v>
      </c>
      <c r="I4675" s="120" t="str">
        <f>VLOOKUP(B4675,辅助信息!E:I,3,FALSE)</f>
        <v>(武汉电气化局成达万高铁强电项目-南充营山)四川省南充市营山县保真路景阳名城南50米(保真路东)</v>
      </c>
      <c r="J4675" s="120" t="str">
        <f>VLOOKUP(B4675,辅助信息!E:I,4,FALSE)</f>
        <v>周开亮</v>
      </c>
      <c r="K4675" s="120">
        <f>VLOOKUP(J4675,辅助信息!H:I,2,FALSE)</f>
        <v>18381485052</v>
      </c>
      <c r="L4675" s="122" t="str">
        <f>VLOOKUP(B4675,辅助信息!E:J,6,FALSE)</f>
        <v>锈货不收！！下雨天钢筋没盖篷布不收！！，装货前联系收货人核实到场规格,没提前告知进场规格现场不给予接收</v>
      </c>
      <c r="O4675" s="62" t="str">
        <f ca="1" t="shared" si="228"/>
        <v/>
      </c>
      <c r="P4675" s="62"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8"/>
      <c r="B4676" s="136" t="s">
        <v>177</v>
      </c>
      <c r="C4676" s="70">
        <v>45947</v>
      </c>
      <c r="D4676" s="120" t="str">
        <f>VLOOKUP(B4676,辅助信息!E:K,7,FALSE)</f>
        <v>JWDDCD2025062200016</v>
      </c>
      <c r="E4676" s="120" t="str">
        <f>VLOOKUP(F4676,辅助信息!A:B,2,FALSE)</f>
        <v>螺纹钢</v>
      </c>
      <c r="F4676" s="120" t="s">
        <v>33</v>
      </c>
      <c r="G4676" s="121">
        <v>16</v>
      </c>
      <c r="H4676" s="134">
        <f>IF(SUMIFS('[1]2025年已发货'!$E:$E,'[1]2025年已发货'!$F:$F,C4676,'[1]2025年已发货'!$C:$C,F4676,'[1]2025年已发货'!$G:$G,I4676,'[1]2025年已发货'!$H:$H,J4676)=0,"未发货",SUMIFS('[1]2025年已发货'!$E:$E,'[1]2025年已发货'!$F:$F,C4676,'[1]2025年已发货'!$C:$C,F4676,'[1]2025年已发货'!$G:$G,I4676,'[1]2025年已发货'!$H:$H,J4676))</f>
        <v>16</v>
      </c>
      <c r="I4676" s="120" t="str">
        <f>VLOOKUP(B4676,辅助信息!E:I,3,FALSE)</f>
        <v>(武汉电气化局成达万高铁强电项目-南充营山)四川省南充市营山县保真路景阳名城南50米(保真路东)</v>
      </c>
      <c r="J4676" s="120" t="str">
        <f>VLOOKUP(B4676,辅助信息!E:I,4,FALSE)</f>
        <v>周开亮</v>
      </c>
      <c r="K4676" s="120">
        <f>VLOOKUP(J4676,辅助信息!H:I,2,FALSE)</f>
        <v>18381485052</v>
      </c>
      <c r="L4676" s="122" t="str">
        <f>VLOOKUP(B4676,辅助信息!E:J,6,FALSE)</f>
        <v>锈货不收！！下雨天钢筋没盖篷布不收！！，装货前联系收货人核实到场规格,没提前告知进场规格现场不给予接收</v>
      </c>
      <c r="O4676" s="62" t="str">
        <f ca="1" t="shared" si="228"/>
        <v/>
      </c>
      <c r="P4676" s="62"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8"/>
      <c r="B4677" s="136" t="s">
        <v>177</v>
      </c>
      <c r="C4677" s="70">
        <v>45947</v>
      </c>
      <c r="D4677" s="120" t="str">
        <f>VLOOKUP(B4677,辅助信息!E:K,7,FALSE)</f>
        <v>JWDDCD2025062200016</v>
      </c>
      <c r="E4677" s="120" t="str">
        <f>VLOOKUP(F4677,辅助信息!A:B,2,FALSE)</f>
        <v>螺纹钢</v>
      </c>
      <c r="F4677" s="120" t="s">
        <v>18</v>
      </c>
      <c r="G4677" s="121">
        <v>12</v>
      </c>
      <c r="H4677" s="134">
        <f>IF(SUMIFS('[1]2025年已发货'!$E:$E,'[1]2025年已发货'!$F:$F,C4677,'[1]2025年已发货'!$C:$C,F4677,'[1]2025年已发货'!$G:$G,I4677,'[1]2025年已发货'!$H:$H,J4677)=0,"未发货",SUMIFS('[1]2025年已发货'!$E:$E,'[1]2025年已发货'!$F:$F,C4677,'[1]2025年已发货'!$C:$C,F4677,'[1]2025年已发货'!$G:$G,I4677,'[1]2025年已发货'!$H:$H,J4677))</f>
        <v>12</v>
      </c>
      <c r="I4677" s="120" t="str">
        <f>VLOOKUP(B4677,辅助信息!E:I,3,FALSE)</f>
        <v>(武汉电气化局成达万高铁强电项目-南充营山)四川省南充市营山县保真路景阳名城南50米(保真路东)</v>
      </c>
      <c r="J4677" s="120" t="str">
        <f>VLOOKUP(B4677,辅助信息!E:I,4,FALSE)</f>
        <v>周开亮</v>
      </c>
      <c r="K4677" s="120">
        <f>VLOOKUP(J4677,辅助信息!H:I,2,FALSE)</f>
        <v>18381485052</v>
      </c>
      <c r="L4677" s="122" t="str">
        <f>VLOOKUP(B4677,辅助信息!E:J,6,FALSE)</f>
        <v>锈货不收！！下雨天钢筋没盖篷布不收！！，装货前联系收货人核实到场规格,没提前告知进场规格现场不给予接收</v>
      </c>
      <c r="O4677" s="62" t="str">
        <f ca="1" t="shared" si="228"/>
        <v/>
      </c>
      <c r="P4677" s="62"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8"/>
      <c r="B4678" s="136" t="s">
        <v>177</v>
      </c>
      <c r="C4678" s="70">
        <v>45947</v>
      </c>
      <c r="D4678" s="120" t="str">
        <f>VLOOKUP(B4678,辅助信息!E:K,7,FALSE)</f>
        <v>JWDDCD2025062200016</v>
      </c>
      <c r="E4678" s="120" t="str">
        <f>VLOOKUP(F4678,辅助信息!A:B,2,FALSE)</f>
        <v>盘螺</v>
      </c>
      <c r="F4678" s="120" t="s">
        <v>41</v>
      </c>
      <c r="G4678" s="121">
        <v>10</v>
      </c>
      <c r="H4678" s="134">
        <f>IF(SUMIFS('[1]2025年已发货'!$E:$E,'[1]2025年已发货'!$F:$F,C4678,'[1]2025年已发货'!$C:$C,F4678,'[1]2025年已发货'!$G:$G,I4678,'[1]2025年已发货'!$H:$H,J4678)=0,"未发货",SUMIFS('[1]2025年已发货'!$E:$E,'[1]2025年已发货'!$F:$F,C4678,'[1]2025年已发货'!$C:$C,F4678,'[1]2025年已发货'!$G:$G,I4678,'[1]2025年已发货'!$H:$H,J4678))</f>
        <v>10</v>
      </c>
      <c r="I4678" s="120" t="str">
        <f>VLOOKUP(B4678,辅助信息!E:I,3,FALSE)</f>
        <v>(武汉电气化局成达万高铁强电项目-南充营山)四川省南充市营山县保真路景阳名城南50米(保真路东)</v>
      </c>
      <c r="J4678" s="120" t="str">
        <f>VLOOKUP(B4678,辅助信息!E:I,4,FALSE)</f>
        <v>周开亮</v>
      </c>
      <c r="K4678" s="120">
        <f>VLOOKUP(J4678,辅助信息!H:I,2,FALSE)</f>
        <v>18381485052</v>
      </c>
      <c r="L4678" s="122" t="str">
        <f>VLOOKUP(B4678,辅助信息!E:J,6,FALSE)</f>
        <v>锈货不收！！下雨天钢筋没盖篷布不收！！，装货前联系收货人核实到场规格,没提前告知进场规格现场不给予接收</v>
      </c>
      <c r="O4678" s="62" t="str">
        <f ca="1" t="shared" si="228"/>
        <v/>
      </c>
      <c r="P4678" s="62"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8"/>
      <c r="B4679" s="136" t="s">
        <v>177</v>
      </c>
      <c r="C4679" s="70">
        <v>45947</v>
      </c>
      <c r="D4679" s="120" t="str">
        <f>VLOOKUP(B4679,辅助信息!E:K,7,FALSE)</f>
        <v>JWDDCD2025062200016</v>
      </c>
      <c r="E4679" s="120" t="str">
        <f>VLOOKUP(F4679,辅助信息!A:B,2,FALSE)</f>
        <v>螺纹钢</v>
      </c>
      <c r="F4679" s="120" t="s">
        <v>130</v>
      </c>
      <c r="G4679" s="121">
        <v>26</v>
      </c>
      <c r="H4679" s="134">
        <f>IF(SUMIFS('[1]2025年已发货'!$E:$E,'[1]2025年已发货'!$F:$F,C4679,'[1]2025年已发货'!$C:$C,F4679,'[1]2025年已发货'!$G:$G,I4679,'[1]2025年已发货'!$H:$H,J4679)=0,"未发货",SUMIFS('[1]2025年已发货'!$E:$E,'[1]2025年已发货'!$F:$F,C4679,'[1]2025年已发货'!$C:$C,F4679,'[1]2025年已发货'!$G:$G,I4679,'[1]2025年已发货'!$H:$H,J4679))</f>
        <v>26</v>
      </c>
      <c r="I4679" s="120" t="str">
        <f>VLOOKUP(B4679,辅助信息!E:I,3,FALSE)</f>
        <v>(武汉电气化局成达万高铁强电项目-南充营山)四川省南充市营山县保真路景阳名城南50米(保真路东)</v>
      </c>
      <c r="J4679" s="120" t="str">
        <f>VLOOKUP(B4679,辅助信息!E:I,4,FALSE)</f>
        <v>周开亮</v>
      </c>
      <c r="K4679" s="120">
        <f>VLOOKUP(J4679,辅助信息!H:I,2,FALSE)</f>
        <v>18381485052</v>
      </c>
      <c r="L4679" s="122" t="str">
        <f>VLOOKUP(B4679,辅助信息!E:J,6,FALSE)</f>
        <v>锈货不收！！下雨天钢筋没盖篷布不收！！，装货前联系收货人核实到场规格,没提前告知进场规格现场不给予接收</v>
      </c>
      <c r="M4679" s="91">
        <v>45941</v>
      </c>
      <c r="O4679" s="62">
        <f ca="1" t="shared" si="228"/>
        <v>0</v>
      </c>
      <c r="P4679" s="62">
        <f ca="1" t="shared" si="229"/>
        <v>19</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6" t="s">
        <v>163</v>
      </c>
      <c r="C4680" s="143">
        <v>45947</v>
      </c>
      <c r="D4680" s="136" t="str">
        <f>VLOOKUP(B4680,辅助信息!E:K,7,FALSE)</f>
        <v>JWDDCD2025052800131</v>
      </c>
      <c r="E4680" s="136" t="str">
        <f>VLOOKUP(F4680,辅助信息!A:B,2,FALSE)</f>
        <v>螺纹钢</v>
      </c>
      <c r="F4680" s="136" t="s">
        <v>58</v>
      </c>
      <c r="G4680" s="134">
        <v>15</v>
      </c>
      <c r="H4680" s="134">
        <f>IF(SUMIFS('[1]2025年已发货'!$E:$E,'[1]2025年已发货'!$F:$F,C4680,'[1]2025年已发货'!$C:$C,F4680,'[1]2025年已发货'!$G:$G,I4680,'[1]2025年已发货'!$H:$H,J4680)=0,"未发货",SUMIFS('[1]2025年已发货'!$E:$E,'[1]2025年已发货'!$F:$F,C4680,'[1]2025年已发货'!$C:$C,F4680,'[1]2025年已发货'!$G:$G,I4680,'[1]2025年已发货'!$H:$H,J4680))</f>
        <v>15</v>
      </c>
      <c r="I4680" s="120" t="str">
        <f>VLOOKUP(B4680,辅助信息!E:I,3,FALSE)</f>
        <v>（商投建工达州中医药科技园-4工区-9号楼）达州市通川区达州中医药职业学院犀牛大道北段</v>
      </c>
      <c r="J4680" s="120" t="str">
        <f>VLOOKUP(B4680,辅助信息!E:I,4,FALSE)</f>
        <v>张扬</v>
      </c>
      <c r="K4680" s="120">
        <f>VLOOKUP(J4680,辅助信息!H:I,2,FALSE)</f>
        <v>18381904567</v>
      </c>
      <c r="L4680" s="122" t="str">
        <f>VLOOKUP(B4680,辅助信息!E:J,6,FALSE)</f>
        <v>控制炉批号！多了现场不收！,优先安排达钢,提前联系到场规格及数量</v>
      </c>
      <c r="O4680" s="62" t="str">
        <f ca="1" t="shared" si="228"/>
        <v/>
      </c>
      <c r="P4680" s="62"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6" t="s">
        <v>163</v>
      </c>
      <c r="C4681" s="143">
        <v>45947</v>
      </c>
      <c r="D4681" s="136" t="str">
        <f>VLOOKUP(B4681,辅助信息!E:K,7,FALSE)</f>
        <v>JWDDCD2025052800131</v>
      </c>
      <c r="E4681" s="136" t="str">
        <f>VLOOKUP(F4681,辅助信息!A:B,2,FALSE)</f>
        <v>螺纹钢</v>
      </c>
      <c r="F4681" s="136" t="s">
        <v>46</v>
      </c>
      <c r="G4681" s="134">
        <v>12</v>
      </c>
      <c r="H4681" s="134">
        <f>IF(SUMIFS('[1]2025年已发货'!$E:$E,'[1]2025年已发货'!$F:$F,C4681,'[1]2025年已发货'!$C:$C,F4681,'[1]2025年已发货'!$G:$G,I4681,'[1]2025年已发货'!$H:$H,J4681)=0,"未发货",SUMIFS('[1]2025年已发货'!$E:$E,'[1]2025年已发货'!$F:$F,C4681,'[1]2025年已发货'!$C:$C,F4681,'[1]2025年已发货'!$G:$G,I4681,'[1]2025年已发货'!$H:$H,J4681))</f>
        <v>12</v>
      </c>
      <c r="I4681" s="120" t="str">
        <f>VLOOKUP(B4681,辅助信息!E:I,3,FALSE)</f>
        <v>（商投建工达州中医药科技园-4工区-9号楼）达州市通川区达州中医药职业学院犀牛大道北段</v>
      </c>
      <c r="J4681" s="120" t="str">
        <f>VLOOKUP(B4681,辅助信息!E:I,4,FALSE)</f>
        <v>张扬</v>
      </c>
      <c r="K4681" s="120">
        <f>VLOOKUP(J4681,辅助信息!H:I,2,FALSE)</f>
        <v>18381904567</v>
      </c>
      <c r="L4681" s="122" t="str">
        <f>VLOOKUP(B4681,辅助信息!E:J,6,FALSE)</f>
        <v>控制炉批号！多了现场不收！,优先安排达钢,提前联系到场规格及数量</v>
      </c>
      <c r="O4681" s="62" t="str">
        <f ca="1" t="shared" si="228"/>
        <v/>
      </c>
      <c r="P4681" s="62"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6" t="s">
        <v>163</v>
      </c>
      <c r="C4682" s="143">
        <v>45947</v>
      </c>
      <c r="D4682" s="136" t="str">
        <f>VLOOKUP(B4682,辅助信息!E:K,7,FALSE)</f>
        <v>JWDDCD2025052800131</v>
      </c>
      <c r="E4682" s="136" t="str">
        <f>VLOOKUP(F4682,辅助信息!A:B,2,FALSE)</f>
        <v>螺纹钢</v>
      </c>
      <c r="F4682" s="136" t="s">
        <v>22</v>
      </c>
      <c r="G4682" s="134">
        <v>9</v>
      </c>
      <c r="H4682" s="134">
        <f>IF(SUMIFS('[1]2025年已发货'!$E:$E,'[1]2025年已发货'!$F:$F,C4682,'[1]2025年已发货'!$C:$C,F4682,'[1]2025年已发货'!$G:$G,I4682,'[1]2025年已发货'!$H:$H,J4682)=0,"未发货",SUMIFS('[1]2025年已发货'!$E:$E,'[1]2025年已发货'!$F:$F,C4682,'[1]2025年已发货'!$C:$C,F4682,'[1]2025年已发货'!$G:$G,I4682,'[1]2025年已发货'!$H:$H,J4682))</f>
        <v>9</v>
      </c>
      <c r="I4682" s="120" t="str">
        <f>VLOOKUP(B4682,辅助信息!E:I,3,FALSE)</f>
        <v>（商投建工达州中医药科技园-4工区-9号楼）达州市通川区达州中医药职业学院犀牛大道北段</v>
      </c>
      <c r="J4682" s="120" t="str">
        <f>VLOOKUP(B4682,辅助信息!E:I,4,FALSE)</f>
        <v>张扬</v>
      </c>
      <c r="K4682" s="120">
        <f>VLOOKUP(J4682,辅助信息!H:I,2,FALSE)</f>
        <v>18381904567</v>
      </c>
      <c r="L4682" s="122" t="str">
        <f>VLOOKUP(B4682,辅助信息!E:J,6,FALSE)</f>
        <v>控制炉批号！多了现场不收！,优先安排达钢,提前联系到场规格及数量</v>
      </c>
      <c r="O4682" s="62" t="str">
        <f ca="1" t="shared" si="228"/>
        <v/>
      </c>
      <c r="P4682" s="62"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6" t="s">
        <v>163</v>
      </c>
      <c r="C4683" s="143">
        <v>45947</v>
      </c>
      <c r="D4683" s="136" t="str">
        <f>VLOOKUP(B4683,辅助信息!E:K,7,FALSE)</f>
        <v>JWDDCD2025052800131</v>
      </c>
      <c r="E4683" s="136" t="str">
        <f>VLOOKUP(F4683,辅助信息!A:B,2,FALSE)</f>
        <v>螺纹钢</v>
      </c>
      <c r="F4683" s="136" t="s">
        <v>32</v>
      </c>
      <c r="G4683" s="134">
        <v>3</v>
      </c>
      <c r="H4683" s="134">
        <f>IF(SUMIFS('[1]2025年已发货'!$E:$E,'[1]2025年已发货'!$F:$F,C4683,'[1]2025年已发货'!$C:$C,F4683,'[1]2025年已发货'!$G:$G,I4683,'[1]2025年已发货'!$H:$H,J4683)=0,"未发货",SUMIFS('[1]2025年已发货'!$E:$E,'[1]2025年已发货'!$F:$F,C4683,'[1]2025年已发货'!$C:$C,F4683,'[1]2025年已发货'!$G:$G,I4683,'[1]2025年已发货'!$H:$H,J4683))</f>
        <v>3</v>
      </c>
      <c r="I4683" s="120" t="str">
        <f>VLOOKUP(B4683,辅助信息!E:I,3,FALSE)</f>
        <v>（商投建工达州中医药科技园-4工区-9号楼）达州市通川区达州中医药职业学院犀牛大道北段</v>
      </c>
      <c r="J4683" s="120" t="str">
        <f>VLOOKUP(B4683,辅助信息!E:I,4,FALSE)</f>
        <v>张扬</v>
      </c>
      <c r="K4683" s="120">
        <f>VLOOKUP(J4683,辅助信息!H:I,2,FALSE)</f>
        <v>18381904567</v>
      </c>
      <c r="L4683" s="122" t="str">
        <f>VLOOKUP(B4683,辅助信息!E:J,6,FALSE)</f>
        <v>控制炉批号！多了现场不收！,优先安排达钢,提前联系到场规格及数量</v>
      </c>
      <c r="O4683" s="62" t="str">
        <f ca="1" t="shared" si="228"/>
        <v/>
      </c>
      <c r="P4683" s="62"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6" t="s">
        <v>163</v>
      </c>
      <c r="C4684" s="143">
        <v>45947</v>
      </c>
      <c r="D4684" s="136" t="str">
        <f>VLOOKUP(B4684,辅助信息!E:K,7,FALSE)</f>
        <v>JWDDCD2025052800131</v>
      </c>
      <c r="E4684" s="136" t="str">
        <f>VLOOKUP(F4684,辅助信息!A:B,2,FALSE)</f>
        <v>螺纹钢</v>
      </c>
      <c r="F4684" s="136" t="s">
        <v>30</v>
      </c>
      <c r="G4684" s="134">
        <v>9</v>
      </c>
      <c r="H4684" s="134">
        <f>IF(SUMIFS('[1]2025年已发货'!$E:$E,'[1]2025年已发货'!$F:$F,C4684,'[1]2025年已发货'!$C:$C,F4684,'[1]2025年已发货'!$G:$G,I4684,'[1]2025年已发货'!$H:$H,J4684)=0,"未发货",SUMIFS('[1]2025年已发货'!$E:$E,'[1]2025年已发货'!$F:$F,C4684,'[1]2025年已发货'!$C:$C,F4684,'[1]2025年已发货'!$G:$G,I4684,'[1]2025年已发货'!$H:$H,J4684))</f>
        <v>9</v>
      </c>
      <c r="I4684" s="120" t="str">
        <f>VLOOKUP(B4684,辅助信息!E:I,3,FALSE)</f>
        <v>（商投建工达州中医药科技园-4工区-9号楼）达州市通川区达州中医药职业学院犀牛大道北段</v>
      </c>
      <c r="J4684" s="120" t="str">
        <f>VLOOKUP(B4684,辅助信息!E:I,4,FALSE)</f>
        <v>张扬</v>
      </c>
      <c r="K4684" s="120">
        <f>VLOOKUP(J4684,辅助信息!H:I,2,FALSE)</f>
        <v>18381904567</v>
      </c>
      <c r="L4684" s="122" t="str">
        <f>VLOOKUP(B4684,辅助信息!E:J,6,FALSE)</f>
        <v>控制炉批号！多了现场不收！,优先安排达钢,提前联系到场规格及数量</v>
      </c>
      <c r="O4684" s="62" t="str">
        <f ca="1" t="shared" si="228"/>
        <v/>
      </c>
      <c r="P4684" s="62"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6" t="s">
        <v>163</v>
      </c>
      <c r="C4685" s="143">
        <v>45947</v>
      </c>
      <c r="D4685" s="136" t="str">
        <f>VLOOKUP(B4685,辅助信息!E:K,7,FALSE)</f>
        <v>JWDDCD2025052800131</v>
      </c>
      <c r="E4685" s="136" t="str">
        <f>VLOOKUP(F4685,辅助信息!A:B,2,FALSE)</f>
        <v>螺纹钢</v>
      </c>
      <c r="F4685" s="136" t="s">
        <v>33</v>
      </c>
      <c r="G4685" s="134">
        <v>6</v>
      </c>
      <c r="H4685" s="134">
        <f>IF(SUMIFS('[1]2025年已发货'!$E:$E,'[1]2025年已发货'!$F:$F,C4685,'[1]2025年已发货'!$C:$C,F4685,'[1]2025年已发货'!$G:$G,I4685,'[1]2025年已发货'!$H:$H,J4685)=0,"未发货",SUMIFS('[1]2025年已发货'!$E:$E,'[1]2025年已发货'!$F:$F,C4685,'[1]2025年已发货'!$C:$C,F4685,'[1]2025年已发货'!$G:$G,I4685,'[1]2025年已发货'!$H:$H,J4685))</f>
        <v>6</v>
      </c>
      <c r="I4685" s="120" t="str">
        <f>VLOOKUP(B4685,辅助信息!E:I,3,FALSE)</f>
        <v>（商投建工达州中医药科技园-4工区-9号楼）达州市通川区达州中医药职业学院犀牛大道北段</v>
      </c>
      <c r="J4685" s="120" t="str">
        <f>VLOOKUP(B4685,辅助信息!E:I,4,FALSE)</f>
        <v>张扬</v>
      </c>
      <c r="K4685" s="120">
        <f>VLOOKUP(J4685,辅助信息!H:I,2,FALSE)</f>
        <v>18381904567</v>
      </c>
      <c r="L4685" s="122" t="str">
        <f>VLOOKUP(B4685,辅助信息!E:J,6,FALSE)</f>
        <v>控制炉批号！多了现场不收！,优先安排达钢,提前联系到场规格及数量</v>
      </c>
      <c r="O4685" s="62" t="str">
        <f ca="1" t="shared" si="228"/>
        <v/>
      </c>
      <c r="P4685" s="62"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6" t="s">
        <v>163</v>
      </c>
      <c r="C4686" s="143">
        <v>45947</v>
      </c>
      <c r="D4686" s="136" t="str">
        <f>VLOOKUP(B4686,辅助信息!E:K,7,FALSE)</f>
        <v>JWDDCD2025052800131</v>
      </c>
      <c r="E4686" s="136" t="str">
        <f>VLOOKUP(F4686,辅助信息!A:B,2,FALSE)</f>
        <v>螺纹钢</v>
      </c>
      <c r="F4686" s="136" t="s">
        <v>28</v>
      </c>
      <c r="G4686" s="134">
        <v>9</v>
      </c>
      <c r="H4686" s="134">
        <f>IF(SUMIFS('[1]2025年已发货'!$E:$E,'[1]2025年已发货'!$F:$F,C4686,'[1]2025年已发货'!$C:$C,F4686,'[1]2025年已发货'!$G:$G,I4686,'[1]2025年已发货'!$H:$H,J4686)=0,"未发货",SUMIFS('[1]2025年已发货'!$E:$E,'[1]2025年已发货'!$F:$F,C4686,'[1]2025年已发货'!$C:$C,F4686,'[1]2025年已发货'!$G:$G,I4686,'[1]2025年已发货'!$H:$H,J4686))</f>
        <v>9</v>
      </c>
      <c r="I4686" s="120" t="str">
        <f>VLOOKUP(B4686,辅助信息!E:I,3,FALSE)</f>
        <v>（商投建工达州中医药科技园-4工区-9号楼）达州市通川区达州中医药职业学院犀牛大道北段</v>
      </c>
      <c r="J4686" s="120" t="str">
        <f>VLOOKUP(B4686,辅助信息!E:I,4,FALSE)</f>
        <v>张扬</v>
      </c>
      <c r="K4686" s="120">
        <f>VLOOKUP(J4686,辅助信息!H:I,2,FALSE)</f>
        <v>18381904567</v>
      </c>
      <c r="L4686" s="122" t="str">
        <f>VLOOKUP(B4686,辅助信息!E:J,6,FALSE)</f>
        <v>控制炉批号！多了现场不收！,优先安排达钢,提前联系到场规格及数量</v>
      </c>
      <c r="O4686" s="62" t="str">
        <f ca="1" t="shared" si="228"/>
        <v/>
      </c>
      <c r="P4686" s="62"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6" t="s">
        <v>163</v>
      </c>
      <c r="C4687" s="143">
        <v>45947</v>
      </c>
      <c r="D4687" s="136" t="str">
        <f>VLOOKUP(B4687,辅助信息!E:K,7,FALSE)</f>
        <v>JWDDCD2025052800131</v>
      </c>
      <c r="E4687" s="136" t="str">
        <f>VLOOKUP(F4687,辅助信息!A:B,2,FALSE)</f>
        <v>螺纹钢</v>
      </c>
      <c r="F4687" s="136" t="s">
        <v>18</v>
      </c>
      <c r="G4687" s="134">
        <v>9</v>
      </c>
      <c r="H4687" s="134">
        <f>IF(SUMIFS('[1]2025年已发货'!$E:$E,'[1]2025年已发货'!$F:$F,C4687,'[1]2025年已发货'!$C:$C,F4687,'[1]2025年已发货'!$G:$G,I4687,'[1]2025年已发货'!$H:$H,J4687)=0,"未发货",SUMIFS('[1]2025年已发货'!$E:$E,'[1]2025年已发货'!$F:$F,C4687,'[1]2025年已发货'!$C:$C,F4687,'[1]2025年已发货'!$G:$G,I4687,'[1]2025年已发货'!$H:$H,J4687))</f>
        <v>9</v>
      </c>
      <c r="I4687" s="120" t="str">
        <f>VLOOKUP(B4687,辅助信息!E:I,3,FALSE)</f>
        <v>（商投建工达州中医药科技园-4工区-9号楼）达州市通川区达州中医药职业学院犀牛大道北段</v>
      </c>
      <c r="J4687" s="120" t="str">
        <f>VLOOKUP(B4687,辅助信息!E:I,4,FALSE)</f>
        <v>张扬</v>
      </c>
      <c r="K4687" s="120">
        <f>VLOOKUP(J4687,辅助信息!H:I,2,FALSE)</f>
        <v>18381904567</v>
      </c>
      <c r="L4687" s="122" t="str">
        <f>VLOOKUP(B4687,辅助信息!E:J,6,FALSE)</f>
        <v>控制炉批号！多了现场不收！,优先安排达钢,提前联系到场规格及数量</v>
      </c>
      <c r="O4687" s="62" t="str">
        <f ca="1" t="shared" si="228"/>
        <v/>
      </c>
      <c r="P4687" s="62"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6" t="s">
        <v>228</v>
      </c>
      <c r="C4688" s="70">
        <v>45950</v>
      </c>
      <c r="D4688" s="120" t="str">
        <f>VLOOKUP(B4688,辅助信息!E:K,7,FALSE)</f>
        <v>JWDDCD2025092400190</v>
      </c>
      <c r="E4688" s="120" t="str">
        <f>VLOOKUP(F4688,辅助信息!A:B,2,FALSE)</f>
        <v>盘螺</v>
      </c>
      <c r="F4688" s="120" t="s">
        <v>41</v>
      </c>
      <c r="G4688" s="121">
        <v>50</v>
      </c>
      <c r="H4688" s="134">
        <f>IF(SUMIFS('[1]2025年已发货'!$E:$E,'[1]2025年已发货'!$F:$F,C4688,'[1]2025年已发货'!$C:$C,F4688,'[1]2025年已发货'!$G:$G,I4688,'[1]2025年已发货'!$H:$H,J4688)=0,"未发货",SUMIFS('[1]2025年已发货'!$E:$E,'[1]2025年已发货'!$F:$F,C4688,'[1]2025年已发货'!$C:$C,F4688,'[1]2025年已发货'!$G:$G,I4688,'[1]2025年已发货'!$H:$H,J4688))</f>
        <v>34</v>
      </c>
      <c r="I4688" s="120" t="str">
        <f>VLOOKUP(B4688,辅助信息!E:I,3,FALSE)</f>
        <v>(五冶钢构龙泉东洪片区70亩住宅、商业及配套工程项目二标段)成都市龙泉驿外东洪路地铁2号线惠王陵地铁C口</v>
      </c>
      <c r="J4688" s="120" t="str">
        <f>VLOOKUP(B4688,辅助信息!E:I,4,FALSE)</f>
        <v>蒋嗣伟</v>
      </c>
      <c r="K4688" s="120">
        <f>VLOOKUP(J4688,辅助信息!H:I,2,FALSE)</f>
        <v>15014331252</v>
      </c>
      <c r="L4688" s="122">
        <f>VLOOKUP(B4688,辅助信息!E:J,6,FALSE)</f>
        <v>0</v>
      </c>
      <c r="M4688" s="91">
        <v>45948</v>
      </c>
      <c r="O4688" s="62">
        <f ca="1" t="shared" si="228"/>
        <v>0</v>
      </c>
      <c r="P4688" s="62">
        <f ca="1" t="shared" si="229"/>
        <v>12</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8" t="s">
        <v>100</v>
      </c>
      <c r="B4689" s="136" t="s">
        <v>188</v>
      </c>
      <c r="C4689" s="70">
        <v>45947</v>
      </c>
      <c r="D4689" s="120" t="str">
        <f>VLOOKUP(B4689,辅助信息!E:K,7,FALSE)</f>
        <v>JWDDCD2025062200016</v>
      </c>
      <c r="E4689" s="120" t="str">
        <f>VLOOKUP(F4689,辅助信息!A:B,2,FALSE)</f>
        <v>盘螺</v>
      </c>
      <c r="F4689" s="120" t="s">
        <v>40</v>
      </c>
      <c r="G4689" s="121">
        <v>12.5</v>
      </c>
      <c r="H4689" s="134">
        <f>IF(SUMIFS('[1]2025年已发货'!$E:$E,'[1]2025年已发货'!$F:$F,C4689,'[1]2025年已发货'!$C:$C,F4689,'[1]2025年已发货'!$G:$G,I4689,'[1]2025年已发货'!$H:$H,J4689)=0,"未发货",SUMIFS('[1]2025年已发货'!$E:$E,'[1]2025年已发货'!$F:$F,C4689,'[1]2025年已发货'!$C:$C,F4689,'[1]2025年已发货'!$G:$G,I4689,'[1]2025年已发货'!$H:$H,J4689))</f>
        <v>12.5</v>
      </c>
      <c r="I4689" s="120" t="str">
        <f>VLOOKUP(B4689,辅助信息!E:I,3,FALSE)</f>
        <v>(武汉电气化局成达万高铁强电项目-达州主城区)四川省达州市达川区斌郎街道四川省达州市达川区洞洞湾256米</v>
      </c>
      <c r="J4689" s="120" t="str">
        <f>VLOOKUP(B4689,辅助信息!E:I,4,FALSE)</f>
        <v>余凡</v>
      </c>
      <c r="K4689" s="120">
        <f>VLOOKUP(J4689,辅助信息!H:I,2,FALSE)</f>
        <v>18228076992</v>
      </c>
      <c r="L4689" s="122" t="str">
        <f>VLOOKUP(B4689,辅助信息!E:J,6,FALSE)</f>
        <v>锈货不收！！下雨天钢筋没盖篷布不收！！，装货前联系收货人核实到场规格,没提前告知进场规格现场不给予接收</v>
      </c>
      <c r="O4689" s="62" t="str">
        <f ca="1" t="shared" si="228"/>
        <v/>
      </c>
      <c r="P4689" s="62"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8"/>
      <c r="B4690" s="136" t="s">
        <v>188</v>
      </c>
      <c r="C4690" s="70">
        <v>45947</v>
      </c>
      <c r="D4690" s="120" t="str">
        <f>VLOOKUP(B4690,辅助信息!E:K,7,FALSE)</f>
        <v>JWDDCD2025062200016</v>
      </c>
      <c r="E4690" s="120" t="str">
        <f>VLOOKUP(F4690,辅助信息!A:B,2,FALSE)</f>
        <v>盘螺</v>
      </c>
      <c r="F4690" s="120" t="s">
        <v>41</v>
      </c>
      <c r="G4690" s="121">
        <v>12.5</v>
      </c>
      <c r="H4690" s="134">
        <f>IF(SUMIFS('[1]2025年已发货'!$E:$E,'[1]2025年已发货'!$F:$F,C4690,'[1]2025年已发货'!$C:$C,F4690,'[1]2025年已发货'!$G:$G,I4690,'[1]2025年已发货'!$H:$H,J4690)=0,"未发货",SUMIFS('[1]2025年已发货'!$E:$E,'[1]2025年已发货'!$F:$F,C4690,'[1]2025年已发货'!$C:$C,F4690,'[1]2025年已发货'!$G:$G,I4690,'[1]2025年已发货'!$H:$H,J4690))</f>
        <v>12.5</v>
      </c>
      <c r="I4690" s="120" t="str">
        <f>VLOOKUP(B4690,辅助信息!E:I,3,FALSE)</f>
        <v>(武汉电气化局成达万高铁强电项目-达州主城区)四川省达州市达川区斌郎街道四川省达州市达川区洞洞湾256米</v>
      </c>
      <c r="J4690" s="120" t="str">
        <f>VLOOKUP(B4690,辅助信息!E:I,4,FALSE)</f>
        <v>余凡</v>
      </c>
      <c r="K4690" s="120">
        <f>VLOOKUP(J4690,辅助信息!H:I,2,FALSE)</f>
        <v>18228076992</v>
      </c>
      <c r="L4690" s="122" t="str">
        <f>VLOOKUP(B4690,辅助信息!E:J,6,FALSE)</f>
        <v>锈货不收！！下雨天钢筋没盖篷布不收！！，装货前联系收货人核实到场规格,没提前告知进场规格现场不给予接收</v>
      </c>
      <c r="O4690" s="62" t="str">
        <f ca="1" t="shared" si="228"/>
        <v/>
      </c>
      <c r="P4690" s="62"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8"/>
      <c r="B4691" s="136" t="s">
        <v>188</v>
      </c>
      <c r="C4691" s="70">
        <v>45947</v>
      </c>
      <c r="D4691" s="120" t="str">
        <f>VLOOKUP(B4691,辅助信息!E:K,7,FALSE)</f>
        <v>JWDDCD2025062200016</v>
      </c>
      <c r="E4691" s="120" t="str">
        <f>VLOOKUP(F4691,辅助信息!A:B,2,FALSE)</f>
        <v>螺纹钢</v>
      </c>
      <c r="F4691" s="120" t="s">
        <v>18</v>
      </c>
      <c r="G4691" s="121">
        <v>10</v>
      </c>
      <c r="H4691" s="134">
        <f>IF(SUMIFS('[1]2025年已发货'!$E:$E,'[1]2025年已发货'!$F:$F,C4691,'[1]2025年已发货'!$C:$C,F4691,'[1]2025年已发货'!$G:$G,I4691,'[1]2025年已发货'!$H:$H,J4691)=0,"未发货",SUMIFS('[1]2025年已发货'!$E:$E,'[1]2025年已发货'!$F:$F,C4691,'[1]2025年已发货'!$C:$C,F4691,'[1]2025年已发货'!$G:$G,I4691,'[1]2025年已发货'!$H:$H,J4691))</f>
        <v>10</v>
      </c>
      <c r="I4691" s="120" t="str">
        <f>VLOOKUP(B4691,辅助信息!E:I,3,FALSE)</f>
        <v>(武汉电气化局成达万高铁强电项目-达州主城区)四川省达州市达川区斌郎街道四川省达州市达川区洞洞湾256米</v>
      </c>
      <c r="J4691" s="120" t="str">
        <f>VLOOKUP(B4691,辅助信息!E:I,4,FALSE)</f>
        <v>余凡</v>
      </c>
      <c r="K4691" s="120">
        <f>VLOOKUP(J4691,辅助信息!H:I,2,FALSE)</f>
        <v>18228076992</v>
      </c>
      <c r="L4691" s="122" t="str">
        <f>VLOOKUP(B4691,辅助信息!E:J,6,FALSE)</f>
        <v>锈货不收！！下雨天钢筋没盖篷布不收！！，装货前联系收货人核实到场规格,没提前告知进场规格现场不给予接收</v>
      </c>
      <c r="O4691" s="62" t="str">
        <f ca="1" t="shared" si="228"/>
        <v/>
      </c>
      <c r="P4691" s="62"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5" t="s">
        <v>167</v>
      </c>
      <c r="C4692" s="70">
        <v>45947</v>
      </c>
      <c r="D4692" s="40" t="str">
        <f>VLOOKUP(B4692,辅助信息!E:K,7,FALSE)</f>
        <v>JWDDCD2025102100473</v>
      </c>
      <c r="E4692" s="40" t="str">
        <f>VLOOKUP(F4692,辅助信息!A:B,2,FALSE)</f>
        <v>盘螺</v>
      </c>
      <c r="F4692" s="40" t="s">
        <v>40</v>
      </c>
      <c r="G4692" s="36">
        <v>8</v>
      </c>
      <c r="H4692" s="134">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09"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2" t="str">
        <f ca="1" t="shared" si="228"/>
        <v/>
      </c>
      <c r="P4692" s="62"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5" t="s">
        <v>167</v>
      </c>
      <c r="C4693" s="70">
        <v>45947</v>
      </c>
      <c r="D4693" s="40" t="str">
        <f>VLOOKUP(B4693,辅助信息!E:K,7,FALSE)</f>
        <v>JWDDCD2025102100473</v>
      </c>
      <c r="E4693" s="40" t="str">
        <f>VLOOKUP(F4693,辅助信息!A:B,2,FALSE)</f>
        <v>盘螺</v>
      </c>
      <c r="F4693" s="40" t="s">
        <v>41</v>
      </c>
      <c r="G4693" s="36">
        <v>8</v>
      </c>
      <c r="H4693" s="134">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09"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2" t="str">
        <f ca="1" t="shared" si="228"/>
        <v/>
      </c>
      <c r="P4693" s="62"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5" t="s">
        <v>167</v>
      </c>
      <c r="C4694" s="70">
        <v>45947</v>
      </c>
      <c r="D4694" s="40" t="str">
        <f>VLOOKUP(B4694,辅助信息!E:K,7,FALSE)</f>
        <v>JWDDCD2025102100473</v>
      </c>
      <c r="E4694" s="40" t="str">
        <f>VLOOKUP(F4694,辅助信息!A:B,2,FALSE)</f>
        <v>螺纹钢</v>
      </c>
      <c r="F4694" s="40" t="s">
        <v>32</v>
      </c>
      <c r="G4694" s="36">
        <v>35</v>
      </c>
      <c r="H4694" s="134">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09"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2" t="str">
        <f ca="1" t="shared" si="228"/>
        <v/>
      </c>
      <c r="P4694" s="62"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5" t="s">
        <v>167</v>
      </c>
      <c r="C4695" s="70">
        <v>45947</v>
      </c>
      <c r="D4695" s="40" t="str">
        <f>VLOOKUP(B4695,辅助信息!E:K,7,FALSE)</f>
        <v>JWDDCD2025102100473</v>
      </c>
      <c r="E4695" s="40" t="str">
        <f>VLOOKUP(F4695,辅助信息!A:B,2,FALSE)</f>
        <v>螺纹钢</v>
      </c>
      <c r="F4695" s="40" t="s">
        <v>82</v>
      </c>
      <c r="G4695" s="36">
        <v>6</v>
      </c>
      <c r="H4695" s="134">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09"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2" t="str">
        <f ca="1" t="shared" si="228"/>
        <v/>
      </c>
      <c r="P4695" s="62"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5" t="s">
        <v>167</v>
      </c>
      <c r="C4696" s="70">
        <v>45947</v>
      </c>
      <c r="D4696" s="40" t="str">
        <f>VLOOKUP(B4696,辅助信息!E:K,7,FALSE)</f>
        <v>JWDDCD2025102100473</v>
      </c>
      <c r="E4696" s="40" t="str">
        <f>VLOOKUP(F4696,辅助信息!A:B,2,FALSE)</f>
        <v>螺纹钢</v>
      </c>
      <c r="F4696" s="40" t="s">
        <v>22</v>
      </c>
      <c r="G4696" s="36">
        <v>14</v>
      </c>
      <c r="H4696" s="134">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09"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2" t="str">
        <f ca="1" t="shared" si="228"/>
        <v/>
      </c>
      <c r="P4696" s="62"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5" t="s">
        <v>224</v>
      </c>
      <c r="C4697" s="70">
        <v>45950</v>
      </c>
      <c r="D4697" s="40" t="str">
        <f>VLOOKUP(B4697,辅助信息!E:K,7,FALSE)</f>
        <v>JWDDCD2025092400188</v>
      </c>
      <c r="E4697" s="40" t="str">
        <f>VLOOKUP(F4697,辅助信息!A:B,2,FALSE)</f>
        <v>螺纹钢</v>
      </c>
      <c r="F4697" s="40" t="s">
        <v>82</v>
      </c>
      <c r="G4697" s="36">
        <v>5</v>
      </c>
      <c r="H4697" s="134">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09">
        <f>VLOOKUP(B4697,辅助信息!E:J,6,FALSE)</f>
        <v>0</v>
      </c>
      <c r="M4697" s="91">
        <v>45948</v>
      </c>
      <c r="O4697" s="62">
        <f ca="1" t="shared" si="228"/>
        <v>0</v>
      </c>
      <c r="P4697" s="62">
        <f ca="1" t="shared" si="229"/>
        <v>12</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5" t="s">
        <v>224</v>
      </c>
      <c r="C4698" s="70">
        <v>45950</v>
      </c>
      <c r="D4698" s="40" t="str">
        <f>VLOOKUP(B4698,辅助信息!E:K,7,FALSE)</f>
        <v>JWDDCD2025092400188</v>
      </c>
      <c r="E4698" s="40" t="str">
        <f>VLOOKUP(F4698,辅助信息!A:B,2,FALSE)</f>
        <v>螺纹钢</v>
      </c>
      <c r="F4698" s="40" t="s">
        <v>45</v>
      </c>
      <c r="G4698" s="36">
        <v>5</v>
      </c>
      <c r="H4698" s="134">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09">
        <f>VLOOKUP(B4698,辅助信息!E:J,6,FALSE)</f>
        <v>0</v>
      </c>
      <c r="M4698" s="91">
        <v>45948</v>
      </c>
      <c r="O4698" s="62">
        <f ca="1" t="shared" si="228"/>
        <v>0</v>
      </c>
      <c r="P4698" s="62">
        <f ca="1" t="shared" si="229"/>
        <v>12</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5" t="s">
        <v>224</v>
      </c>
      <c r="C4699" s="70">
        <v>45950</v>
      </c>
      <c r="D4699" s="40" t="str">
        <f>VLOOKUP(B4699,辅助信息!E:K,7,FALSE)</f>
        <v>JWDDCD2025092400188</v>
      </c>
      <c r="E4699" s="40" t="str">
        <f>VLOOKUP(F4699,辅助信息!A:B,2,FALSE)</f>
        <v>螺纹钢</v>
      </c>
      <c r="F4699" s="40" t="s">
        <v>21</v>
      </c>
      <c r="G4699" s="36">
        <v>5</v>
      </c>
      <c r="H4699" s="134">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09">
        <f>VLOOKUP(B4699,辅助信息!E:J,6,FALSE)</f>
        <v>0</v>
      </c>
      <c r="M4699" s="91">
        <v>45948</v>
      </c>
      <c r="O4699" s="62">
        <f ca="1" t="shared" si="228"/>
        <v>0</v>
      </c>
      <c r="P4699" s="62">
        <f ca="1" t="shared" si="229"/>
        <v>12</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5" t="s">
        <v>224</v>
      </c>
      <c r="C4700" s="70">
        <v>45950</v>
      </c>
      <c r="D4700" s="40" t="str">
        <f>VLOOKUP(B4700,辅助信息!E:K,7,FALSE)</f>
        <v>JWDDCD2025092400188</v>
      </c>
      <c r="E4700" s="40" t="str">
        <f>VLOOKUP(F4700,辅助信息!A:B,2,FALSE)</f>
        <v>螺纹钢</v>
      </c>
      <c r="F4700" s="40" t="s">
        <v>58</v>
      </c>
      <c r="G4700" s="36">
        <v>5</v>
      </c>
      <c r="H4700" s="134">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09">
        <f>VLOOKUP(B4700,辅助信息!E:J,6,FALSE)</f>
        <v>0</v>
      </c>
      <c r="M4700" s="91">
        <v>45948</v>
      </c>
      <c r="O4700" s="62">
        <f ca="1" t="shared" si="228"/>
        <v>0</v>
      </c>
      <c r="P4700" s="62">
        <f ca="1" t="shared" si="229"/>
        <v>12</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5" t="s">
        <v>224</v>
      </c>
      <c r="C4701" s="70">
        <v>45950</v>
      </c>
      <c r="D4701" s="40" t="str">
        <f>VLOOKUP(B4701,辅助信息!E:K,7,FALSE)</f>
        <v>JWDDCD2025092400188</v>
      </c>
      <c r="E4701" s="40" t="str">
        <f>VLOOKUP(F4701,辅助信息!A:B,2,FALSE)</f>
        <v>螺纹钢</v>
      </c>
      <c r="F4701" s="40" t="s">
        <v>46</v>
      </c>
      <c r="G4701" s="36">
        <v>10</v>
      </c>
      <c r="H4701" s="134">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09">
        <f>VLOOKUP(B4701,辅助信息!E:J,6,FALSE)</f>
        <v>0</v>
      </c>
      <c r="M4701" s="91">
        <v>45948</v>
      </c>
      <c r="O4701" s="62">
        <f ca="1" t="shared" si="228"/>
        <v>0</v>
      </c>
      <c r="P4701" s="62">
        <f ca="1" t="shared" si="229"/>
        <v>12</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5" t="s">
        <v>224</v>
      </c>
      <c r="C4702" s="70">
        <v>45950</v>
      </c>
      <c r="D4702" s="40" t="str">
        <f>VLOOKUP(B4702,辅助信息!E:K,7,FALSE)</f>
        <v>JWDDCD2025092400188</v>
      </c>
      <c r="E4702" s="40" t="str">
        <f>VLOOKUP(F4702,辅助信息!A:B,2,FALSE)</f>
        <v>螺纹钢</v>
      </c>
      <c r="F4702" s="40" t="s">
        <v>22</v>
      </c>
      <c r="G4702" s="36">
        <v>5</v>
      </c>
      <c r="H4702" s="134">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09">
        <f>VLOOKUP(B4702,辅助信息!E:J,6,FALSE)</f>
        <v>0</v>
      </c>
      <c r="M4702" s="91">
        <v>45948</v>
      </c>
      <c r="O4702" s="62">
        <f ca="1" t="shared" si="228"/>
        <v>0</v>
      </c>
      <c r="P4702" s="62">
        <f ca="1" t="shared" si="229"/>
        <v>12</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5" t="s">
        <v>203</v>
      </c>
      <c r="C4703" s="70">
        <v>45948</v>
      </c>
      <c r="D4703" s="40" t="str">
        <f>VLOOKUP(B4703,辅助信息!E:K,7,FALSE)</f>
        <v>JWDDCD2025102100479</v>
      </c>
      <c r="E4703" s="40" t="str">
        <f>VLOOKUP(F4703,辅助信息!A:B,2,FALSE)</f>
        <v>螺纹钢</v>
      </c>
      <c r="F4703" s="40" t="s">
        <v>32</v>
      </c>
      <c r="G4703" s="36">
        <v>10</v>
      </c>
      <c r="H4703" s="134">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09"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2" t="str">
        <f ca="1" t="shared" si="228"/>
        <v/>
      </c>
      <c r="P4703" s="62"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5" t="s">
        <v>203</v>
      </c>
      <c r="C4704" s="70">
        <v>45948</v>
      </c>
      <c r="D4704" s="40" t="str">
        <f>VLOOKUP(B4704,辅助信息!E:K,7,FALSE)</f>
        <v>JWDDCD2025102100479</v>
      </c>
      <c r="E4704" s="40" t="str">
        <f>VLOOKUP(F4704,辅助信息!A:B,2,FALSE)</f>
        <v>螺纹钢</v>
      </c>
      <c r="F4704" s="40" t="s">
        <v>33</v>
      </c>
      <c r="G4704" s="36">
        <v>10</v>
      </c>
      <c r="H4704" s="134">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09"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2" t="str">
        <f ca="1" t="shared" ref="O4704:O4767" si="230">IF(OR(M4704="",N4704&lt;&gt;""),"",MAX(M4704-TODAY(),0))</f>
        <v/>
      </c>
      <c r="P4704" s="62"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5" t="s">
        <v>112</v>
      </c>
      <c r="C4705" s="70">
        <v>45950</v>
      </c>
      <c r="D4705" s="40" t="str">
        <f>VLOOKUP(B4705,辅助信息!E:K,7,FALSE)</f>
        <v>JWDDCD2025052800131</v>
      </c>
      <c r="E4705" s="40" t="str">
        <f>VLOOKUP(F4705,辅助信息!A:B,2,FALSE)</f>
        <v>盘螺</v>
      </c>
      <c r="F4705" s="40" t="s">
        <v>49</v>
      </c>
      <c r="G4705" s="36">
        <v>9</v>
      </c>
      <c r="H4705" s="134"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09" t="str">
        <f>VLOOKUP(B4705,辅助信息!E:J,6,FALSE)</f>
        <v>控制炉批号！多了现场不收！,优先安排达钢,提前联系到场规格及数量</v>
      </c>
      <c r="M4705" s="91">
        <v>45948</v>
      </c>
      <c r="O4705" s="62">
        <f ca="1" t="shared" si="230"/>
        <v>0</v>
      </c>
      <c r="P4705" s="62">
        <f ca="1" t="shared" si="231"/>
        <v>12</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5" t="s">
        <v>112</v>
      </c>
      <c r="C4706" s="70">
        <v>45950</v>
      </c>
      <c r="D4706" s="40" t="str">
        <f>VLOOKUP(B4706,辅助信息!E:K,7,FALSE)</f>
        <v>JWDDCD2025052800131</v>
      </c>
      <c r="E4706" s="40" t="str">
        <f>VLOOKUP(F4706,辅助信息!A:B,2,FALSE)</f>
        <v>盘螺</v>
      </c>
      <c r="F4706" s="40" t="s">
        <v>40</v>
      </c>
      <c r="G4706" s="36">
        <v>24</v>
      </c>
      <c r="H4706" s="134">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09" t="str">
        <f>VLOOKUP(B4706,辅助信息!E:J,6,FALSE)</f>
        <v>控制炉批号！多了现场不收！,优先安排达钢,提前联系到场规格及数量</v>
      </c>
      <c r="M4706" s="91">
        <v>45948</v>
      </c>
      <c r="O4706" s="62">
        <f ca="1" t="shared" si="230"/>
        <v>0</v>
      </c>
      <c r="P4706" s="62">
        <f ca="1" t="shared" si="231"/>
        <v>12</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5" t="s">
        <v>112</v>
      </c>
      <c r="C4707" s="70">
        <v>45950</v>
      </c>
      <c r="D4707" s="40" t="str">
        <f>VLOOKUP(B4707,辅助信息!E:K,7,FALSE)</f>
        <v>JWDDCD2025052800131</v>
      </c>
      <c r="E4707" s="40" t="str">
        <f>VLOOKUP(F4707,辅助信息!A:B,2,FALSE)</f>
        <v>盘螺</v>
      </c>
      <c r="F4707" s="40" t="s">
        <v>41</v>
      </c>
      <c r="G4707" s="36">
        <v>16</v>
      </c>
      <c r="H4707" s="134">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09" t="str">
        <f>VLOOKUP(B4707,辅助信息!E:J,6,FALSE)</f>
        <v>控制炉批号！多了现场不收！,优先安排达钢,提前联系到场规格及数量</v>
      </c>
      <c r="M4707" s="91">
        <v>45948</v>
      </c>
      <c r="O4707" s="62">
        <f ca="1" t="shared" si="230"/>
        <v>0</v>
      </c>
      <c r="P4707" s="62">
        <f ca="1" t="shared" si="231"/>
        <v>12</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5" t="s">
        <v>112</v>
      </c>
      <c r="C4708" s="70">
        <v>45950</v>
      </c>
      <c r="D4708" s="40" t="str">
        <f>VLOOKUP(B4708,辅助信息!E:K,7,FALSE)</f>
        <v>JWDDCD2025052800131</v>
      </c>
      <c r="E4708" s="40" t="str">
        <f>VLOOKUP(F4708,辅助信息!A:B,2,FALSE)</f>
        <v>螺纹钢</v>
      </c>
      <c r="F4708" s="40" t="s">
        <v>45</v>
      </c>
      <c r="G4708" s="36">
        <v>9</v>
      </c>
      <c r="H4708" s="134">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09" t="str">
        <f>VLOOKUP(B4708,辅助信息!E:J,6,FALSE)</f>
        <v>控制炉批号！多了现场不收！,优先安排达钢,提前联系到场规格及数量</v>
      </c>
      <c r="M4708" s="91">
        <v>45948</v>
      </c>
      <c r="O4708" s="62">
        <f ca="1" t="shared" si="230"/>
        <v>0</v>
      </c>
      <c r="P4708" s="62">
        <f ca="1" t="shared" si="231"/>
        <v>12</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5" t="s">
        <v>112</v>
      </c>
      <c r="C4709" s="70">
        <v>45950</v>
      </c>
      <c r="D4709" s="40" t="str">
        <f>VLOOKUP(B4709,辅助信息!E:K,7,FALSE)</f>
        <v>JWDDCD2025052800131</v>
      </c>
      <c r="E4709" s="40" t="str">
        <f>VLOOKUP(F4709,辅助信息!A:B,2,FALSE)</f>
        <v>螺纹钢</v>
      </c>
      <c r="F4709" s="40" t="s">
        <v>21</v>
      </c>
      <c r="G4709" s="36">
        <v>9</v>
      </c>
      <c r="H4709" s="134"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09" t="str">
        <f>VLOOKUP(B4709,辅助信息!E:J,6,FALSE)</f>
        <v>控制炉批号！多了现场不收！,优先安排达钢,提前联系到场规格及数量</v>
      </c>
      <c r="M4709" s="91">
        <v>45948</v>
      </c>
      <c r="O4709" s="62">
        <f ca="1" t="shared" si="230"/>
        <v>0</v>
      </c>
      <c r="P4709" s="62">
        <f ca="1" t="shared" si="231"/>
        <v>12</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5" t="s">
        <v>112</v>
      </c>
      <c r="C4710" s="70">
        <v>45950</v>
      </c>
      <c r="D4710" s="40" t="str">
        <f>VLOOKUP(B4710,辅助信息!E:K,7,FALSE)</f>
        <v>JWDDCD2025052800131</v>
      </c>
      <c r="E4710" s="40" t="str">
        <f>VLOOKUP(F4710,辅助信息!A:B,2,FALSE)</f>
        <v>螺纹钢</v>
      </c>
      <c r="F4710" s="40" t="s">
        <v>58</v>
      </c>
      <c r="G4710" s="36">
        <v>9</v>
      </c>
      <c r="H4710" s="134"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09" t="str">
        <f>VLOOKUP(B4710,辅助信息!E:J,6,FALSE)</f>
        <v>控制炉批号！多了现场不收！,优先安排达钢,提前联系到场规格及数量</v>
      </c>
      <c r="M4710" s="91">
        <v>45948</v>
      </c>
      <c r="O4710" s="62">
        <f ca="1" t="shared" si="230"/>
        <v>0</v>
      </c>
      <c r="P4710" s="62">
        <f ca="1" t="shared" si="231"/>
        <v>12</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5" t="s">
        <v>112</v>
      </c>
      <c r="C4711" s="70">
        <v>45950</v>
      </c>
      <c r="D4711" s="40" t="str">
        <f>VLOOKUP(B4711,辅助信息!E:K,7,FALSE)</f>
        <v>JWDDCD2025052800131</v>
      </c>
      <c r="E4711" s="40" t="str">
        <f>VLOOKUP(F4711,辅助信息!A:B,2,FALSE)</f>
        <v>螺纹钢</v>
      </c>
      <c r="F4711" s="40" t="s">
        <v>46</v>
      </c>
      <c r="G4711" s="36">
        <v>6</v>
      </c>
      <c r="H4711" s="134">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09" t="str">
        <f>VLOOKUP(B4711,辅助信息!E:J,6,FALSE)</f>
        <v>控制炉批号！多了现场不收！,优先安排达钢,提前联系到场规格及数量</v>
      </c>
      <c r="M4711" s="91">
        <v>45948</v>
      </c>
      <c r="O4711" s="62">
        <f ca="1" t="shared" si="230"/>
        <v>0</v>
      </c>
      <c r="P4711" s="62">
        <f ca="1" t="shared" si="231"/>
        <v>12</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5" t="s">
        <v>112</v>
      </c>
      <c r="C4712" s="70">
        <v>45950</v>
      </c>
      <c r="D4712" s="40" t="str">
        <f>VLOOKUP(B4712,辅助信息!E:K,7,FALSE)</f>
        <v>JWDDCD2025052800131</v>
      </c>
      <c r="E4712" s="40" t="str">
        <f>VLOOKUP(F4712,辅助信息!A:B,2,FALSE)</f>
        <v>螺纹钢</v>
      </c>
      <c r="F4712" s="40" t="s">
        <v>22</v>
      </c>
      <c r="G4712" s="36">
        <v>9</v>
      </c>
      <c r="H4712" s="134"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09" t="str">
        <f>VLOOKUP(B4712,辅助信息!E:J,6,FALSE)</f>
        <v>控制炉批号！多了现场不收！,优先安排达钢,提前联系到场规格及数量</v>
      </c>
      <c r="M4712" s="91">
        <v>45948</v>
      </c>
      <c r="O4712" s="62">
        <f ca="1" t="shared" si="230"/>
        <v>0</v>
      </c>
      <c r="P4712" s="62">
        <f ca="1" t="shared" si="231"/>
        <v>12</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5" t="s">
        <v>47</v>
      </c>
      <c r="C4713" s="70">
        <v>45950</v>
      </c>
      <c r="D4713" s="40" t="str">
        <f>VLOOKUP(B4713,辅助信息!E:K,7,FALSE)</f>
        <v>JWDDCD2025052800131</v>
      </c>
      <c r="E4713" s="40" t="str">
        <f>VLOOKUP(F4713,辅助信息!A:B,2,FALSE)</f>
        <v>高线</v>
      </c>
      <c r="F4713" s="40" t="s">
        <v>57</v>
      </c>
      <c r="G4713" s="36">
        <v>9</v>
      </c>
      <c r="H4713" s="134"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09" t="str">
        <f>VLOOKUP(B4713,辅助信息!E:J,6,FALSE)</f>
        <v>控制炉批号！多了现场不收！,优先安排达钢,提前联系到场规格及数量</v>
      </c>
      <c r="M4713" s="91">
        <v>45948</v>
      </c>
      <c r="O4713" s="62">
        <f ca="1" t="shared" si="230"/>
        <v>0</v>
      </c>
      <c r="P4713" s="62">
        <f ca="1" t="shared" si="231"/>
        <v>12</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5" t="s">
        <v>47</v>
      </c>
      <c r="C4714" s="70">
        <v>45950</v>
      </c>
      <c r="D4714" s="40" t="str">
        <f>VLOOKUP(B4714,辅助信息!E:K,7,FALSE)</f>
        <v>JWDDCD2025052800131</v>
      </c>
      <c r="E4714" s="40" t="str">
        <f>VLOOKUP(F4714,辅助信息!A:B,2,FALSE)</f>
        <v>盘螺</v>
      </c>
      <c r="F4714" s="40" t="s">
        <v>40</v>
      </c>
      <c r="G4714" s="36">
        <v>15</v>
      </c>
      <c r="H4714" s="134">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09" t="str">
        <f>VLOOKUP(B4714,辅助信息!E:J,6,FALSE)</f>
        <v>控制炉批号！多了现场不收！,优先安排达钢,提前联系到场规格及数量</v>
      </c>
      <c r="M4714" s="91">
        <v>45948</v>
      </c>
      <c r="O4714" s="62">
        <f ca="1" t="shared" si="230"/>
        <v>0</v>
      </c>
      <c r="P4714" s="62">
        <f ca="1" t="shared" si="231"/>
        <v>12</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5" t="s">
        <v>47</v>
      </c>
      <c r="C4715" s="70">
        <v>45950</v>
      </c>
      <c r="D4715" s="40" t="str">
        <f>VLOOKUP(B4715,辅助信息!E:K,7,FALSE)</f>
        <v>JWDDCD2025052800131</v>
      </c>
      <c r="E4715" s="40" t="str">
        <f>VLOOKUP(F4715,辅助信息!A:B,2,FALSE)</f>
        <v>盘螺</v>
      </c>
      <c r="F4715" s="40" t="s">
        <v>41</v>
      </c>
      <c r="G4715" s="36">
        <v>12</v>
      </c>
      <c r="H4715" s="134">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09" t="str">
        <f>VLOOKUP(B4715,辅助信息!E:J,6,FALSE)</f>
        <v>控制炉批号！多了现场不收！,优先安排达钢,提前联系到场规格及数量</v>
      </c>
      <c r="M4715" s="91">
        <v>45948</v>
      </c>
      <c r="O4715" s="62">
        <f ca="1" t="shared" si="230"/>
        <v>0</v>
      </c>
      <c r="P4715" s="62">
        <f ca="1" t="shared" si="231"/>
        <v>12</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5" t="s">
        <v>47</v>
      </c>
      <c r="C4716" s="70">
        <v>45950</v>
      </c>
      <c r="D4716" s="40" t="str">
        <f>VLOOKUP(B4716,辅助信息!E:K,7,FALSE)</f>
        <v>JWDDCD2025052800131</v>
      </c>
      <c r="E4716" s="40" t="str">
        <f>VLOOKUP(F4716,辅助信息!A:B,2,FALSE)</f>
        <v>螺纹钢</v>
      </c>
      <c r="F4716" s="40" t="s">
        <v>27</v>
      </c>
      <c r="G4716" s="36">
        <v>9</v>
      </c>
      <c r="H4716" s="134">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09" t="str">
        <f>VLOOKUP(B4716,辅助信息!E:J,6,FALSE)</f>
        <v>控制炉批号！多了现场不收！,优先安排达钢,提前联系到场规格及数量</v>
      </c>
      <c r="M4716" s="91">
        <v>45948</v>
      </c>
      <c r="O4716" s="62">
        <f ca="1" t="shared" si="230"/>
        <v>0</v>
      </c>
      <c r="P4716" s="62">
        <f ca="1" t="shared" si="231"/>
        <v>12</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5" t="s">
        <v>47</v>
      </c>
      <c r="C4717" s="70">
        <v>45950</v>
      </c>
      <c r="D4717" s="40" t="str">
        <f>VLOOKUP(B4717,辅助信息!E:K,7,FALSE)</f>
        <v>JWDDCD2025052800131</v>
      </c>
      <c r="E4717" s="40" t="str">
        <f>VLOOKUP(F4717,辅助信息!A:B,2,FALSE)</f>
        <v>螺纹钢</v>
      </c>
      <c r="F4717" s="40" t="s">
        <v>32</v>
      </c>
      <c r="G4717" s="36">
        <v>9</v>
      </c>
      <c r="H4717" s="134">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09" t="str">
        <f>VLOOKUP(B4717,辅助信息!E:J,6,FALSE)</f>
        <v>控制炉批号！多了现场不收！,优先安排达钢,提前联系到场规格及数量</v>
      </c>
      <c r="M4717" s="91">
        <v>45948</v>
      </c>
      <c r="O4717" s="62">
        <f ca="1" t="shared" si="230"/>
        <v>0</v>
      </c>
      <c r="P4717" s="62">
        <f ca="1" t="shared" si="231"/>
        <v>12</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5" t="s">
        <v>47</v>
      </c>
      <c r="C4718" s="70">
        <v>45950</v>
      </c>
      <c r="D4718" s="40" t="str">
        <f>VLOOKUP(B4718,辅助信息!E:K,7,FALSE)</f>
        <v>JWDDCD2025052800131</v>
      </c>
      <c r="E4718" s="40" t="str">
        <f>VLOOKUP(F4718,辅助信息!A:B,2,FALSE)</f>
        <v>螺纹钢</v>
      </c>
      <c r="F4718" s="40" t="s">
        <v>33</v>
      </c>
      <c r="G4718" s="36">
        <v>6</v>
      </c>
      <c r="H4718" s="134"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09" t="str">
        <f>VLOOKUP(B4718,辅助信息!E:J,6,FALSE)</f>
        <v>控制炉批号！多了现场不收！,优先安排达钢,提前联系到场规格及数量</v>
      </c>
      <c r="M4718" s="91">
        <v>45948</v>
      </c>
      <c r="O4718" s="62">
        <f ca="1" t="shared" si="230"/>
        <v>0</v>
      </c>
      <c r="P4718" s="62">
        <f ca="1" t="shared" si="231"/>
        <v>12</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5" t="s">
        <v>231</v>
      </c>
      <c r="C4719" s="70">
        <v>45950</v>
      </c>
      <c r="D4719" s="40" t="str">
        <f>VLOOKUP(B4719,辅助信息!E:K,7,FALSE)</f>
        <v>JWDDCD2025102100481</v>
      </c>
      <c r="E4719" s="40" t="str">
        <f>VLOOKUP(F4719,辅助信息!A:B,2,FALSE)</f>
        <v>盘螺</v>
      </c>
      <c r="F4719" s="40" t="s">
        <v>40</v>
      </c>
      <c r="G4719" s="36">
        <v>8</v>
      </c>
      <c r="H4719" s="134">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09" t="str">
        <f>VLOOKUP(B4719,辅助信息!E:J,6,FALSE)</f>
        <v>联系实际收货人（易前刚18228465067）五冶建设送货单,6份材质书,锈货不收，装货前联系收货人核实到场规格,没提前告知进场规格现场不给予接收</v>
      </c>
      <c r="M4719" s="91">
        <v>45948</v>
      </c>
      <c r="O4719" s="62">
        <f ca="1" t="shared" si="230"/>
        <v>0</v>
      </c>
      <c r="P4719" s="62">
        <f ca="1" t="shared" si="231"/>
        <v>12</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5" t="s">
        <v>231</v>
      </c>
      <c r="C4720" s="70">
        <v>45950</v>
      </c>
      <c r="D4720" s="40" t="str">
        <f>VLOOKUP(B4720,辅助信息!E:K,7,FALSE)</f>
        <v>JWDDCD2025102100481</v>
      </c>
      <c r="E4720" s="40" t="str">
        <f>VLOOKUP(F4720,辅助信息!A:B,2,FALSE)</f>
        <v>螺纹钢</v>
      </c>
      <c r="F4720" s="40" t="s">
        <v>18</v>
      </c>
      <c r="G4720" s="36">
        <v>27</v>
      </c>
      <c r="H4720" s="134">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09" t="str">
        <f>VLOOKUP(B4720,辅助信息!E:J,6,FALSE)</f>
        <v>联系实际收货人（易前刚18228465067）五冶建设送货单,6份材质书,锈货不收，装货前联系收货人核实到场规格,没提前告知进场规格现场不给予接收</v>
      </c>
      <c r="M4720" s="91">
        <v>45948</v>
      </c>
      <c r="O4720" s="62">
        <f ca="1" t="shared" si="230"/>
        <v>0</v>
      </c>
      <c r="P4720" s="62">
        <f ca="1" t="shared" si="231"/>
        <v>12</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5" t="s">
        <v>196</v>
      </c>
      <c r="C4721" s="70">
        <v>45949</v>
      </c>
      <c r="D4721" s="40" t="str">
        <f>VLOOKUP(B4721,辅助信息!E:K,7,FALSE)</f>
        <v>JWDDCD2025102100476</v>
      </c>
      <c r="E4721" s="40" t="str">
        <f>VLOOKUP(F4721,辅助信息!A:B,2,FALSE)</f>
        <v>螺纹钢</v>
      </c>
      <c r="F4721" s="40" t="s">
        <v>27</v>
      </c>
      <c r="G4721" s="36">
        <v>25</v>
      </c>
      <c r="H4721" s="134">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09"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2" t="str">
        <f ca="1" t="shared" si="230"/>
        <v/>
      </c>
      <c r="P4721" s="62"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5" t="s">
        <v>196</v>
      </c>
      <c r="C4722" s="70">
        <v>45949</v>
      </c>
      <c r="D4722" s="40" t="str">
        <f>VLOOKUP(B4722,辅助信息!E:K,7,FALSE)</f>
        <v>JWDDCD2025102100476</v>
      </c>
      <c r="E4722" s="40" t="str">
        <f>VLOOKUP(F4722,辅助信息!A:B,2,FALSE)</f>
        <v>螺纹钢</v>
      </c>
      <c r="F4722" s="40" t="s">
        <v>22</v>
      </c>
      <c r="G4722" s="36">
        <v>10</v>
      </c>
      <c r="H4722" s="134">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09"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2" t="str">
        <f ca="1" t="shared" si="230"/>
        <v/>
      </c>
      <c r="P4722" s="62"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5" t="s">
        <v>163</v>
      </c>
      <c r="C4723" s="70">
        <v>45950</v>
      </c>
      <c r="D4723" s="40" t="str">
        <f>VLOOKUP(B4723,辅助信息!E:K,7,FALSE)</f>
        <v>JWDDCD2025052800131</v>
      </c>
      <c r="E4723" s="40" t="str">
        <f>VLOOKUP(F4723,辅助信息!A:B,2,FALSE)</f>
        <v>盘螺</v>
      </c>
      <c r="F4723" s="40" t="s">
        <v>49</v>
      </c>
      <c r="G4723" s="36">
        <v>18</v>
      </c>
      <c r="H4723" s="134"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09" t="str">
        <f>VLOOKUP(B4723,辅助信息!E:J,6,FALSE)</f>
        <v>控制炉批号！多了现场不收！,优先安排达钢,提前联系到场规格及数量</v>
      </c>
      <c r="M4723" s="91">
        <v>45949</v>
      </c>
      <c r="O4723" s="62">
        <f ca="1" t="shared" si="230"/>
        <v>0</v>
      </c>
      <c r="P4723" s="62">
        <f ca="1" t="shared" si="231"/>
        <v>11</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5" t="s">
        <v>163</v>
      </c>
      <c r="C4724" s="70">
        <v>45950</v>
      </c>
      <c r="D4724" s="40" t="str">
        <f>VLOOKUP(B4724,辅助信息!E:K,7,FALSE)</f>
        <v>JWDDCD2025052800131</v>
      </c>
      <c r="E4724" s="40" t="str">
        <f>VLOOKUP(F4724,辅助信息!A:B,2,FALSE)</f>
        <v>盘螺</v>
      </c>
      <c r="F4724" s="40" t="s">
        <v>40</v>
      </c>
      <c r="G4724" s="36">
        <v>18</v>
      </c>
      <c r="H4724" s="134">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09" t="str">
        <f>VLOOKUP(B4724,辅助信息!E:J,6,FALSE)</f>
        <v>控制炉批号！多了现场不收！,优先安排达钢,提前联系到场规格及数量</v>
      </c>
      <c r="M4724" s="91">
        <v>45949</v>
      </c>
      <c r="O4724" s="62">
        <f ca="1" t="shared" si="230"/>
        <v>0</v>
      </c>
      <c r="P4724" s="62">
        <f ca="1" t="shared" si="231"/>
        <v>11</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5" t="s">
        <v>163</v>
      </c>
      <c r="C4725" s="70">
        <v>45950</v>
      </c>
      <c r="D4725" s="40" t="str">
        <f>VLOOKUP(B4725,辅助信息!E:K,7,FALSE)</f>
        <v>JWDDCD2025052800131</v>
      </c>
      <c r="E4725" s="40" t="str">
        <f>VLOOKUP(F4725,辅助信息!A:B,2,FALSE)</f>
        <v>盘螺</v>
      </c>
      <c r="F4725" s="40" t="s">
        <v>41</v>
      </c>
      <c r="G4725" s="36">
        <v>18</v>
      </c>
      <c r="H4725" s="134">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09" t="str">
        <f>VLOOKUP(B4725,辅助信息!E:J,6,FALSE)</f>
        <v>控制炉批号！多了现场不收！,优先安排达钢,提前联系到场规格及数量</v>
      </c>
      <c r="M4725" s="91">
        <v>45949</v>
      </c>
      <c r="O4725" s="62">
        <f ca="1" t="shared" si="230"/>
        <v>0</v>
      </c>
      <c r="P4725" s="62">
        <f ca="1" t="shared" si="231"/>
        <v>11</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8" t="s">
        <v>203</v>
      </c>
      <c r="C4726" s="70">
        <v>45949</v>
      </c>
      <c r="D4726" s="26" t="str">
        <f>VLOOKUP(B4726,辅助信息!E:K,7,FALSE)</f>
        <v>JWDDCD2025102100479</v>
      </c>
      <c r="E4726" s="26" t="str">
        <f>VLOOKUP(F4726,辅助信息!A:B,2,FALSE)</f>
        <v>高线</v>
      </c>
      <c r="F4726" s="26" t="s">
        <v>57</v>
      </c>
      <c r="G4726" s="59">
        <v>2</v>
      </c>
      <c r="H4726" s="134"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1"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2" t="str">
        <f ca="1" t="shared" si="230"/>
        <v/>
      </c>
      <c r="P4726" s="62"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8" t="s">
        <v>203</v>
      </c>
      <c r="C4727" s="70">
        <v>45949</v>
      </c>
      <c r="D4727" s="26" t="str">
        <f>VLOOKUP(B4727,辅助信息!E:K,7,FALSE)</f>
        <v>JWDDCD2025102100479</v>
      </c>
      <c r="E4727" s="26" t="str">
        <f>VLOOKUP(F4727,辅助信息!A:B,2,FALSE)</f>
        <v>盘螺</v>
      </c>
      <c r="F4727" s="26" t="s">
        <v>49</v>
      </c>
      <c r="G4727" s="59">
        <v>2</v>
      </c>
      <c r="H4727" s="134"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1"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2" t="str">
        <f ca="1" t="shared" si="230"/>
        <v/>
      </c>
      <c r="P4727" s="62"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8" t="s">
        <v>203</v>
      </c>
      <c r="C4728" s="70">
        <v>45949</v>
      </c>
      <c r="D4728" s="26" t="str">
        <f>VLOOKUP(B4728,辅助信息!E:K,7,FALSE)</f>
        <v>JWDDCD2025102100479</v>
      </c>
      <c r="E4728" s="26" t="str">
        <f>VLOOKUP(F4728,辅助信息!A:B,2,FALSE)</f>
        <v>盘螺</v>
      </c>
      <c r="F4728" s="26" t="s">
        <v>40</v>
      </c>
      <c r="G4728" s="59">
        <v>12</v>
      </c>
      <c r="H4728" s="134"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1"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2" t="str">
        <f ca="1" t="shared" si="230"/>
        <v/>
      </c>
      <c r="P4728" s="62"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8" t="s">
        <v>203</v>
      </c>
      <c r="C4729" s="70">
        <v>45949</v>
      </c>
      <c r="D4729" s="26" t="str">
        <f>VLOOKUP(B4729,辅助信息!E:K,7,FALSE)</f>
        <v>JWDDCD2025102100479</v>
      </c>
      <c r="E4729" s="26" t="str">
        <f>VLOOKUP(F4729,辅助信息!A:B,2,FALSE)</f>
        <v>盘螺</v>
      </c>
      <c r="F4729" s="26" t="s">
        <v>41</v>
      </c>
      <c r="G4729" s="59">
        <v>8</v>
      </c>
      <c r="H4729" s="134"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1"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2" t="str">
        <f ca="1" t="shared" si="230"/>
        <v/>
      </c>
      <c r="P4729" s="62"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8" t="s">
        <v>203</v>
      </c>
      <c r="C4730" s="70">
        <v>45949</v>
      </c>
      <c r="D4730" s="26" t="str">
        <f>VLOOKUP(B4730,辅助信息!E:K,7,FALSE)</f>
        <v>JWDDCD2025102100479</v>
      </c>
      <c r="E4730" s="26" t="str">
        <f>VLOOKUP(F4730,辅助信息!A:B,2,FALSE)</f>
        <v>螺纹钢</v>
      </c>
      <c r="F4730" s="26" t="s">
        <v>27</v>
      </c>
      <c r="G4730" s="59">
        <v>20</v>
      </c>
      <c r="H4730" s="134">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1"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2" t="str">
        <f ca="1" t="shared" si="230"/>
        <v/>
      </c>
      <c r="P4730" s="62"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8" t="s">
        <v>203</v>
      </c>
      <c r="C4731" s="70">
        <v>45949</v>
      </c>
      <c r="D4731" s="26" t="str">
        <f>VLOOKUP(B4731,辅助信息!E:K,7,FALSE)</f>
        <v>JWDDCD2025102100479</v>
      </c>
      <c r="E4731" s="26" t="str">
        <f>VLOOKUP(F4731,辅助信息!A:B,2,FALSE)</f>
        <v>螺纹钢</v>
      </c>
      <c r="F4731" s="26" t="s">
        <v>19</v>
      </c>
      <c r="G4731" s="59">
        <v>30</v>
      </c>
      <c r="H4731" s="134">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1"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2" t="str">
        <f ca="1" t="shared" si="230"/>
        <v/>
      </c>
      <c r="P4731" s="62"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8" t="s">
        <v>203</v>
      </c>
      <c r="C4732" s="70">
        <v>45949</v>
      </c>
      <c r="D4732" s="26" t="str">
        <f>VLOOKUP(B4732,辅助信息!E:K,7,FALSE)</f>
        <v>JWDDCD2025102100479</v>
      </c>
      <c r="E4732" s="26" t="str">
        <f>VLOOKUP(F4732,辅助信息!A:B,2,FALSE)</f>
        <v>螺纹钢</v>
      </c>
      <c r="F4732" s="26" t="s">
        <v>32</v>
      </c>
      <c r="G4732" s="59">
        <v>10</v>
      </c>
      <c r="H4732" s="134"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1"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2" t="str">
        <f ca="1" t="shared" si="230"/>
        <v/>
      </c>
      <c r="P4732" s="62"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8" t="s">
        <v>203</v>
      </c>
      <c r="C4733" s="70">
        <v>45949</v>
      </c>
      <c r="D4733" s="26" t="str">
        <f>VLOOKUP(B4733,辅助信息!E:K,7,FALSE)</f>
        <v>JWDDCD2025102100479</v>
      </c>
      <c r="E4733" s="26" t="str">
        <f>VLOOKUP(F4733,辅助信息!A:B,2,FALSE)</f>
        <v>螺纹钢</v>
      </c>
      <c r="F4733" s="26" t="s">
        <v>30</v>
      </c>
      <c r="G4733" s="59">
        <v>8</v>
      </c>
      <c r="H4733" s="134">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1"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2" t="str">
        <f ca="1" t="shared" si="230"/>
        <v/>
      </c>
      <c r="P4733" s="62"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8" t="s">
        <v>203</v>
      </c>
      <c r="C4734" s="70">
        <v>45949</v>
      </c>
      <c r="D4734" s="26" t="str">
        <f>VLOOKUP(B4734,辅助信息!E:K,7,FALSE)</f>
        <v>JWDDCD2025102100479</v>
      </c>
      <c r="E4734" s="26" t="str">
        <f>VLOOKUP(F4734,辅助信息!A:B,2,FALSE)</f>
        <v>螺纹钢</v>
      </c>
      <c r="F4734" s="26" t="s">
        <v>33</v>
      </c>
      <c r="G4734" s="59">
        <v>10</v>
      </c>
      <c r="H4734" s="134"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1"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2" t="str">
        <f ca="1" t="shared" si="230"/>
        <v/>
      </c>
      <c r="P4734" s="62"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8" t="s">
        <v>203</v>
      </c>
      <c r="C4735" s="70">
        <v>45949</v>
      </c>
      <c r="D4735" s="26" t="str">
        <f>VLOOKUP(B4735,辅助信息!E:K,7,FALSE)</f>
        <v>JWDDCD2025102100479</v>
      </c>
      <c r="E4735" s="26" t="str">
        <f>VLOOKUP(F4735,辅助信息!A:B,2,FALSE)</f>
        <v>螺纹钢</v>
      </c>
      <c r="F4735" s="26" t="s">
        <v>28</v>
      </c>
      <c r="G4735" s="59">
        <v>3</v>
      </c>
      <c r="H4735" s="134">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1"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2" t="str">
        <f ca="1" t="shared" si="230"/>
        <v/>
      </c>
      <c r="P4735" s="62"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8" t="s">
        <v>203</v>
      </c>
      <c r="C4736" s="84">
        <v>45949</v>
      </c>
      <c r="D4736" s="26" t="str">
        <f>VLOOKUP(B4736,辅助信息!E:K,7,FALSE)</f>
        <v>JWDDCD2025102100479</v>
      </c>
      <c r="E4736" s="26" t="str">
        <f>VLOOKUP(F4736,辅助信息!A:B,2,FALSE)</f>
        <v>螺纹钢</v>
      </c>
      <c r="F4736" s="26" t="s">
        <v>18</v>
      </c>
      <c r="G4736" s="59">
        <v>3</v>
      </c>
      <c r="H4736" s="138">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1"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2" t="str">
        <f ca="1" t="shared" si="230"/>
        <v/>
      </c>
      <c r="P4736" s="62"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5" t="s">
        <v>203</v>
      </c>
      <c r="C4737" s="70">
        <v>45950</v>
      </c>
      <c r="D4737" s="40" t="str">
        <f>VLOOKUP(B4737,辅助信息!E:K,7,FALSE)</f>
        <v>JWDDCD2025102100479</v>
      </c>
      <c r="E4737" s="40" t="str">
        <f>VLOOKUP(F4737,辅助信息!A:B,2,FALSE)</f>
        <v>高线</v>
      </c>
      <c r="F4737" s="40" t="s">
        <v>57</v>
      </c>
      <c r="G4737" s="36">
        <v>2</v>
      </c>
      <c r="H4737" s="134"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09"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1">
        <v>45949</v>
      </c>
      <c r="O4737" s="62">
        <f ca="1" t="shared" si="230"/>
        <v>0</v>
      </c>
      <c r="P4737" s="62">
        <f ca="1" t="shared" si="231"/>
        <v>11</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5" t="s">
        <v>203</v>
      </c>
      <c r="C4738" s="70">
        <v>45950</v>
      </c>
      <c r="D4738" s="40" t="str">
        <f>VLOOKUP(B4738,辅助信息!E:K,7,FALSE)</f>
        <v>JWDDCD2025102100479</v>
      </c>
      <c r="E4738" s="40" t="str">
        <f>VLOOKUP(F4738,辅助信息!A:B,2,FALSE)</f>
        <v>盘螺</v>
      </c>
      <c r="F4738" s="40" t="s">
        <v>49</v>
      </c>
      <c r="G4738" s="36">
        <v>2</v>
      </c>
      <c r="H4738" s="134"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09"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1">
        <v>45949</v>
      </c>
      <c r="O4738" s="62">
        <f ca="1" t="shared" si="230"/>
        <v>0</v>
      </c>
      <c r="P4738" s="62">
        <f ca="1" t="shared" si="231"/>
        <v>11</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5" t="s">
        <v>203</v>
      </c>
      <c r="C4739" s="70">
        <v>45950</v>
      </c>
      <c r="D4739" s="40" t="str">
        <f>VLOOKUP(B4739,辅助信息!E:K,7,FALSE)</f>
        <v>JWDDCD2025102100479</v>
      </c>
      <c r="E4739" s="40" t="str">
        <f>VLOOKUP(F4739,辅助信息!A:B,2,FALSE)</f>
        <v>盘螺</v>
      </c>
      <c r="F4739" s="40" t="s">
        <v>40</v>
      </c>
      <c r="G4739" s="36">
        <v>12</v>
      </c>
      <c r="H4739" s="134"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09"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1">
        <v>45949</v>
      </c>
      <c r="O4739" s="62">
        <f ca="1" t="shared" si="230"/>
        <v>0</v>
      </c>
      <c r="P4739" s="62">
        <f ca="1" t="shared" si="231"/>
        <v>11</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5" t="s">
        <v>203</v>
      </c>
      <c r="C4740" s="70">
        <v>45950</v>
      </c>
      <c r="D4740" s="40" t="str">
        <f>VLOOKUP(B4740,辅助信息!E:K,7,FALSE)</f>
        <v>JWDDCD2025102100479</v>
      </c>
      <c r="E4740" s="40" t="str">
        <f>VLOOKUP(F4740,辅助信息!A:B,2,FALSE)</f>
        <v>盘螺</v>
      </c>
      <c r="F4740" s="40" t="s">
        <v>41</v>
      </c>
      <c r="G4740" s="36">
        <v>8</v>
      </c>
      <c r="H4740" s="134"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09"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1">
        <v>45949</v>
      </c>
      <c r="O4740" s="62">
        <f ca="1" t="shared" si="230"/>
        <v>0</v>
      </c>
      <c r="P4740" s="62">
        <f ca="1" t="shared" si="231"/>
        <v>11</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5" t="s">
        <v>203</v>
      </c>
      <c r="C4741" s="70">
        <v>45950</v>
      </c>
      <c r="D4741" s="40" t="str">
        <f>VLOOKUP(B4741,辅助信息!E:K,7,FALSE)</f>
        <v>JWDDCD2025102100479</v>
      </c>
      <c r="E4741" s="40" t="str">
        <f>VLOOKUP(F4741,辅助信息!A:B,2,FALSE)</f>
        <v>螺纹钢</v>
      </c>
      <c r="F4741" s="40" t="s">
        <v>27</v>
      </c>
      <c r="G4741" s="36">
        <v>17</v>
      </c>
      <c r="H4741" s="134">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09"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1">
        <v>45949</v>
      </c>
      <c r="O4741" s="62">
        <f ca="1" t="shared" si="230"/>
        <v>0</v>
      </c>
      <c r="P4741" s="62">
        <f ca="1" t="shared" si="231"/>
        <v>11</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5" t="s">
        <v>203</v>
      </c>
      <c r="C4742" s="70">
        <v>45950</v>
      </c>
      <c r="D4742" s="40" t="str">
        <f>VLOOKUP(B4742,辅助信息!E:K,7,FALSE)</f>
        <v>JWDDCD2025102100479</v>
      </c>
      <c r="E4742" s="40" t="str">
        <f>VLOOKUP(F4742,辅助信息!A:B,2,FALSE)</f>
        <v>螺纹钢</v>
      </c>
      <c r="F4742" s="40" t="s">
        <v>19</v>
      </c>
      <c r="G4742" s="36">
        <v>11</v>
      </c>
      <c r="H4742" s="134">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09"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1">
        <v>45949</v>
      </c>
      <c r="O4742" s="62">
        <f ca="1" t="shared" si="230"/>
        <v>0</v>
      </c>
      <c r="P4742" s="62">
        <f ca="1" t="shared" si="231"/>
        <v>11</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5" t="s">
        <v>203</v>
      </c>
      <c r="C4743" s="70">
        <v>45950</v>
      </c>
      <c r="D4743" s="40" t="str">
        <f>VLOOKUP(B4743,辅助信息!E:K,7,FALSE)</f>
        <v>JWDDCD2025102100479</v>
      </c>
      <c r="E4743" s="40" t="str">
        <f>VLOOKUP(F4743,辅助信息!A:B,2,FALSE)</f>
        <v>螺纹钢</v>
      </c>
      <c r="F4743" s="40" t="s">
        <v>32</v>
      </c>
      <c r="G4743" s="36">
        <v>10</v>
      </c>
      <c r="H4743" s="134">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09"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1">
        <v>45949</v>
      </c>
      <c r="O4743" s="62">
        <f ca="1" t="shared" si="230"/>
        <v>0</v>
      </c>
      <c r="P4743" s="62">
        <f ca="1" t="shared" si="231"/>
        <v>11</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5" t="s">
        <v>203</v>
      </c>
      <c r="C4744" s="70">
        <v>45950</v>
      </c>
      <c r="D4744" s="40" t="str">
        <f>VLOOKUP(B4744,辅助信息!E:K,7,FALSE)</f>
        <v>JWDDCD2025102100479</v>
      </c>
      <c r="E4744" s="40" t="str">
        <f>VLOOKUP(F4744,辅助信息!A:B,2,FALSE)</f>
        <v>螺纹钢</v>
      </c>
      <c r="F4744" s="40" t="s">
        <v>33</v>
      </c>
      <c r="G4744" s="36">
        <v>10</v>
      </c>
      <c r="H4744" s="134"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09"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1">
        <v>45949</v>
      </c>
      <c r="O4744" s="62">
        <f ca="1" t="shared" si="230"/>
        <v>0</v>
      </c>
      <c r="P4744" s="62">
        <f ca="1" t="shared" si="231"/>
        <v>11</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5" t="s">
        <v>176</v>
      </c>
      <c r="C4745" s="70">
        <v>45950</v>
      </c>
      <c r="D4745" s="40" t="str">
        <f>VLOOKUP(B4745,辅助信息!E:K,7,FALSE)</f>
        <v>JWDDCD2025062200016</v>
      </c>
      <c r="E4745" s="40" t="str">
        <f>VLOOKUP(F4745,辅助信息!A:B,2,FALSE)</f>
        <v>螺纹钢</v>
      </c>
      <c r="F4745" s="40" t="s">
        <v>19</v>
      </c>
      <c r="G4745" s="36">
        <v>5</v>
      </c>
      <c r="H4745" s="134"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09" t="str">
        <f>VLOOKUP(B4745,辅助信息!E:J,6,FALSE)</f>
        <v>锈货不收！！下雨天钢筋没盖篷布不收！！，装货前联系收货人核实到场规格,没提前告知进场规格现场不给予接收</v>
      </c>
      <c r="M4745" s="91">
        <v>45946</v>
      </c>
      <c r="O4745" s="62">
        <f ca="1" t="shared" si="230"/>
        <v>0</v>
      </c>
      <c r="P4745" s="62">
        <f ca="1" t="shared" si="231"/>
        <v>14</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5" t="s">
        <v>176</v>
      </c>
      <c r="C4746" s="70">
        <v>45950</v>
      </c>
      <c r="D4746" s="40" t="str">
        <f>VLOOKUP(B4746,辅助信息!E:K,7,FALSE)</f>
        <v>JWDDCD2025062200016</v>
      </c>
      <c r="E4746" s="40" t="str">
        <f>VLOOKUP(F4746,辅助信息!A:B,2,FALSE)</f>
        <v>螺纹钢</v>
      </c>
      <c r="F4746" s="40" t="s">
        <v>76</v>
      </c>
      <c r="G4746" s="36">
        <v>5</v>
      </c>
      <c r="H4746" s="134"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09" t="str">
        <f>VLOOKUP(B4746,辅助信息!E:J,6,FALSE)</f>
        <v>锈货不收！！下雨天钢筋没盖篷布不收！！，装货前联系收货人核实到场规格,没提前告知进场规格现场不给予接收</v>
      </c>
      <c r="M4746" s="91">
        <v>45946</v>
      </c>
      <c r="O4746" s="62">
        <f ca="1" t="shared" si="230"/>
        <v>0</v>
      </c>
      <c r="P4746" s="62">
        <f ca="1" t="shared" si="231"/>
        <v>14</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5" t="s">
        <v>176</v>
      </c>
      <c r="C4747" s="70">
        <v>45950</v>
      </c>
      <c r="D4747" s="40" t="str">
        <f>VLOOKUP(B4747,辅助信息!E:K,7,FALSE)</f>
        <v>JWDDCD2025062200016</v>
      </c>
      <c r="E4747" s="40" t="str">
        <f>VLOOKUP(F4747,辅助信息!A:B,2,FALSE)</f>
        <v>螺纹钢</v>
      </c>
      <c r="F4747" s="40" t="s">
        <v>130</v>
      </c>
      <c r="G4747" s="36">
        <v>15</v>
      </c>
      <c r="H4747" s="134"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09" t="str">
        <f>VLOOKUP(B4747,辅助信息!E:J,6,FALSE)</f>
        <v>锈货不收！！下雨天钢筋没盖篷布不收！！，装货前联系收货人核实到场规格,没提前告知进场规格现场不给予接收</v>
      </c>
      <c r="M4747" s="91">
        <v>45946</v>
      </c>
      <c r="O4747" s="62">
        <f ca="1" t="shared" si="230"/>
        <v>0</v>
      </c>
      <c r="P4747" s="62">
        <f ca="1" t="shared" si="231"/>
        <v>14</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5" t="s">
        <v>176</v>
      </c>
      <c r="C4748" s="70">
        <v>45950</v>
      </c>
      <c r="D4748" s="40" t="str">
        <f>VLOOKUP(B4748,辅助信息!E:K,7,FALSE)</f>
        <v>JWDDCD2025062200016</v>
      </c>
      <c r="E4748" s="40" t="str">
        <f>VLOOKUP(F4748,辅助信息!A:B,2,FALSE)</f>
        <v>螺纹钢</v>
      </c>
      <c r="F4748" s="40" t="s">
        <v>91</v>
      </c>
      <c r="G4748" s="36">
        <v>9</v>
      </c>
      <c r="H4748" s="134"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09" t="str">
        <f>VLOOKUP(B4748,辅助信息!E:J,6,FALSE)</f>
        <v>锈货不收！！下雨天钢筋没盖篷布不收！！，装货前联系收货人核实到场规格,没提前告知进场规格现场不给予接收</v>
      </c>
      <c r="M4748" s="91">
        <v>45946</v>
      </c>
      <c r="O4748" s="62">
        <f ca="1" t="shared" si="230"/>
        <v>0</v>
      </c>
      <c r="P4748" s="62">
        <f ca="1" t="shared" si="231"/>
        <v>14</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5" t="s">
        <v>226</v>
      </c>
      <c r="C4749" s="70">
        <v>45950</v>
      </c>
      <c r="D4749" s="40" t="str">
        <f>VLOOKUP(B4749,辅助信息!E:K,7,FALSE)</f>
        <v>JWDDCD2025092400211</v>
      </c>
      <c r="E4749" s="40" t="str">
        <f>VLOOKUP(F4749,辅助信息!A:B,2,FALSE)</f>
        <v>盘螺</v>
      </c>
      <c r="F4749" s="40" t="s">
        <v>40</v>
      </c>
      <c r="G4749" s="36">
        <v>35</v>
      </c>
      <c r="H4749" s="134"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09">
        <f>VLOOKUP(B4749,辅助信息!E:J,6,FALSE)</f>
        <v>0</v>
      </c>
      <c r="M4749" s="91">
        <v>45949</v>
      </c>
      <c r="O4749" s="62">
        <f ca="1" t="shared" si="230"/>
        <v>0</v>
      </c>
      <c r="P4749" s="62">
        <f ca="1" t="shared" si="231"/>
        <v>11</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5" t="s">
        <v>226</v>
      </c>
      <c r="C4750" s="70">
        <v>45950</v>
      </c>
      <c r="D4750" s="40" t="str">
        <f>VLOOKUP(B4750,辅助信息!E:K,7,FALSE)</f>
        <v>JWDDCD2025092400211</v>
      </c>
      <c r="E4750" s="40" t="str">
        <f>VLOOKUP(F4750,辅助信息!A:B,2,FALSE)</f>
        <v>螺纹钢</v>
      </c>
      <c r="F4750" s="40" t="s">
        <v>27</v>
      </c>
      <c r="G4750" s="36">
        <v>35</v>
      </c>
      <c r="H4750" s="134"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09">
        <f>VLOOKUP(B4750,辅助信息!E:J,6,FALSE)</f>
        <v>0</v>
      </c>
      <c r="M4750" s="91">
        <v>45949</v>
      </c>
      <c r="O4750" s="62">
        <f ca="1" t="shared" si="230"/>
        <v>0</v>
      </c>
      <c r="P4750" s="62">
        <f ca="1" t="shared" si="231"/>
        <v>11</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5" t="s">
        <v>226</v>
      </c>
      <c r="C4751" s="70">
        <v>45950</v>
      </c>
      <c r="D4751" s="40" t="str">
        <f>VLOOKUP(B4751,辅助信息!E:K,7,FALSE)</f>
        <v>JWDDCD2025092400211</v>
      </c>
      <c r="E4751" s="40" t="str">
        <f>VLOOKUP(F4751,辅助信息!A:B,2,FALSE)</f>
        <v>螺纹钢</v>
      </c>
      <c r="F4751" s="40" t="s">
        <v>32</v>
      </c>
      <c r="G4751" s="36">
        <v>20</v>
      </c>
      <c r="H4751" s="134"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09">
        <f>VLOOKUP(B4751,辅助信息!E:J,6,FALSE)</f>
        <v>0</v>
      </c>
      <c r="M4751" s="91">
        <v>45949</v>
      </c>
      <c r="O4751" s="62">
        <f ca="1" t="shared" si="230"/>
        <v>0</v>
      </c>
      <c r="P4751" s="62">
        <f ca="1" t="shared" si="231"/>
        <v>11</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5" t="s">
        <v>226</v>
      </c>
      <c r="C4752" s="70">
        <v>45950</v>
      </c>
      <c r="D4752" s="40" t="str">
        <f>VLOOKUP(B4752,辅助信息!E:K,7,FALSE)</f>
        <v>JWDDCD2025092400211</v>
      </c>
      <c r="E4752" s="40" t="str">
        <f>VLOOKUP(F4752,辅助信息!A:B,2,FALSE)</f>
        <v>螺纹钢</v>
      </c>
      <c r="F4752" s="40" t="s">
        <v>30</v>
      </c>
      <c r="G4752" s="36">
        <v>15</v>
      </c>
      <c r="H4752" s="134"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09">
        <f>VLOOKUP(B4752,辅助信息!E:J,6,FALSE)</f>
        <v>0</v>
      </c>
      <c r="M4752" s="91">
        <v>45949</v>
      </c>
      <c r="O4752" s="62">
        <f ca="1" t="shared" si="230"/>
        <v>0</v>
      </c>
      <c r="P4752" s="62">
        <f ca="1" t="shared" si="231"/>
        <v>11</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5" t="s">
        <v>225</v>
      </c>
      <c r="C4753" s="70">
        <v>45950</v>
      </c>
      <c r="D4753" s="40" t="str">
        <f>VLOOKUP(B4753,辅助信息!E:K,7,FALSE)</f>
        <v>JWDDCD2025092400210</v>
      </c>
      <c r="E4753" s="40" t="str">
        <f>VLOOKUP(F4753,辅助信息!A:B,2,FALSE)</f>
        <v>盘螺</v>
      </c>
      <c r="F4753" s="40" t="s">
        <v>40</v>
      </c>
      <c r="G4753" s="36">
        <v>35</v>
      </c>
      <c r="H4753" s="134">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09">
        <f>VLOOKUP(B4753,辅助信息!E:J,6,FALSE)</f>
        <v>0</v>
      </c>
      <c r="M4753" s="91">
        <v>45949</v>
      </c>
      <c r="O4753" s="62">
        <f ca="1" t="shared" si="230"/>
        <v>0</v>
      </c>
      <c r="P4753" s="62">
        <f ca="1" t="shared" si="231"/>
        <v>11</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5" t="s">
        <v>215</v>
      </c>
      <c r="C4754" s="70">
        <v>45950</v>
      </c>
      <c r="D4754" s="40" t="str">
        <f>VLOOKUP(B4754,辅助信息!E:K,7,FALSE)</f>
        <v>JWDDCD2025102100486</v>
      </c>
      <c r="E4754" s="40" t="str">
        <f>VLOOKUP(F4754,辅助信息!A:B,2,FALSE)</f>
        <v>盘螺</v>
      </c>
      <c r="F4754" s="40" t="s">
        <v>49</v>
      </c>
      <c r="G4754" s="36">
        <v>2</v>
      </c>
      <c r="H4754" s="134"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09" t="str">
        <f>VLOOKUP(B4754,辅助信息!E:J,6,FALSE)</f>
        <v>联系实际收货人（孙敏13617695006）五冶建设送货单,6份材质书,锈货不收，装货前联系收货人核实到场规格,没提前告知进场规格现场不给予接收</v>
      </c>
      <c r="M4754" s="91">
        <v>45946</v>
      </c>
      <c r="O4754" s="62">
        <f ca="1" t="shared" si="230"/>
        <v>0</v>
      </c>
      <c r="P4754" s="62">
        <f ca="1" t="shared" si="231"/>
        <v>14</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5" t="s">
        <v>215</v>
      </c>
      <c r="C4755" s="70">
        <v>45950</v>
      </c>
      <c r="D4755" s="40" t="str">
        <f>VLOOKUP(B4755,辅助信息!E:K,7,FALSE)</f>
        <v>JWDDCD2025102100486</v>
      </c>
      <c r="E4755" s="40" t="str">
        <f>VLOOKUP(F4755,辅助信息!A:B,2,FALSE)</f>
        <v>盘螺</v>
      </c>
      <c r="F4755" s="40" t="s">
        <v>40</v>
      </c>
      <c r="G4755" s="36">
        <v>16</v>
      </c>
      <c r="H4755" s="134"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09" t="str">
        <f>VLOOKUP(B4755,辅助信息!E:J,6,FALSE)</f>
        <v>联系实际收货人（孙敏13617695006）五冶建设送货单,6份材质书,锈货不收，装货前联系收货人核实到场规格,没提前告知进场规格现场不给予接收</v>
      </c>
      <c r="M4755" s="91">
        <v>45946</v>
      </c>
      <c r="O4755" s="62">
        <f ca="1" t="shared" si="230"/>
        <v>0</v>
      </c>
      <c r="P4755" s="62">
        <f ca="1" t="shared" si="231"/>
        <v>14</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5" t="s">
        <v>215</v>
      </c>
      <c r="C4756" s="70">
        <v>45950</v>
      </c>
      <c r="D4756" s="40" t="str">
        <f>VLOOKUP(B4756,辅助信息!E:K,7,FALSE)</f>
        <v>JWDDCD2025102100486</v>
      </c>
      <c r="E4756" s="40" t="str">
        <f>VLOOKUP(F4756,辅助信息!A:B,2,FALSE)</f>
        <v>盘螺</v>
      </c>
      <c r="F4756" s="40" t="s">
        <v>41</v>
      </c>
      <c r="G4756" s="36">
        <v>38</v>
      </c>
      <c r="H4756" s="134">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09" t="str">
        <f>VLOOKUP(B4756,辅助信息!E:J,6,FALSE)</f>
        <v>联系实际收货人（孙敏13617695006）五冶建设送货单,6份材质书,锈货不收，装货前联系收货人核实到场规格,没提前告知进场规格现场不给予接收</v>
      </c>
      <c r="M4756" s="91">
        <v>45946</v>
      </c>
      <c r="O4756" s="62">
        <f ca="1" t="shared" si="230"/>
        <v>0</v>
      </c>
      <c r="P4756" s="62">
        <f ca="1" t="shared" si="231"/>
        <v>14</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5" t="s">
        <v>215</v>
      </c>
      <c r="C4757" s="70">
        <v>45950</v>
      </c>
      <c r="D4757" s="40" t="str">
        <f>VLOOKUP(B4757,辅助信息!E:K,7,FALSE)</f>
        <v>JWDDCD2025102100486</v>
      </c>
      <c r="E4757" s="40" t="str">
        <f>VLOOKUP(F4757,辅助信息!A:B,2,FALSE)</f>
        <v>盘螺</v>
      </c>
      <c r="F4757" s="40" t="s">
        <v>26</v>
      </c>
      <c r="G4757" s="36">
        <v>30</v>
      </c>
      <c r="H4757" s="134"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09" t="str">
        <f>VLOOKUP(B4757,辅助信息!E:J,6,FALSE)</f>
        <v>联系实际收货人（孙敏13617695006）五冶建设送货单,6份材质书,锈货不收，装货前联系收货人核实到场规格,没提前告知进场规格现场不给予接收</v>
      </c>
      <c r="M4757" s="91">
        <v>45946</v>
      </c>
      <c r="O4757" s="62">
        <f ca="1" t="shared" si="230"/>
        <v>0</v>
      </c>
      <c r="P4757" s="62">
        <f ca="1" t="shared" si="231"/>
        <v>14</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5" t="s">
        <v>215</v>
      </c>
      <c r="C4758" s="70">
        <v>45950</v>
      </c>
      <c r="D4758" s="40" t="str">
        <f>VLOOKUP(B4758,辅助信息!E:K,7,FALSE)</f>
        <v>JWDDCD2025102100486</v>
      </c>
      <c r="E4758" s="40" t="str">
        <f>VLOOKUP(F4758,辅助信息!A:B,2,FALSE)</f>
        <v>螺纹钢</v>
      </c>
      <c r="F4758" s="40" t="s">
        <v>27</v>
      </c>
      <c r="G4758" s="36">
        <v>12</v>
      </c>
      <c r="H4758" s="134">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09" t="str">
        <f>VLOOKUP(B4758,辅助信息!E:J,6,FALSE)</f>
        <v>联系实际收货人（孙敏13617695006）五冶建设送货单,6份材质书,锈货不收，装货前联系收货人核实到场规格,没提前告知进场规格现场不给予接收</v>
      </c>
      <c r="M4758" s="91">
        <v>45946</v>
      </c>
      <c r="O4758" s="62">
        <f ca="1" t="shared" si="230"/>
        <v>0</v>
      </c>
      <c r="P4758" s="62">
        <f ca="1" t="shared" si="231"/>
        <v>14</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5" t="s">
        <v>215</v>
      </c>
      <c r="C4759" s="70">
        <v>45950</v>
      </c>
      <c r="D4759" s="40" t="str">
        <f>VLOOKUP(B4759,辅助信息!E:K,7,FALSE)</f>
        <v>JWDDCD2025102100486</v>
      </c>
      <c r="E4759" s="40" t="str">
        <f>VLOOKUP(F4759,辅助信息!A:B,2,FALSE)</f>
        <v>螺纹钢</v>
      </c>
      <c r="F4759" s="40" t="s">
        <v>52</v>
      </c>
      <c r="G4759" s="36">
        <v>1.5</v>
      </c>
      <c r="H4759" s="134">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09" t="str">
        <f>VLOOKUP(B4759,辅助信息!E:J,6,FALSE)</f>
        <v>联系实际收货人（孙敏13617695006）五冶建设送货单,6份材质书,锈货不收，装货前联系收货人核实到场规格,没提前告知进场规格现场不给予接收</v>
      </c>
      <c r="M4759" s="91">
        <v>45946</v>
      </c>
      <c r="O4759" s="62">
        <f ca="1" t="shared" si="230"/>
        <v>0</v>
      </c>
      <c r="P4759" s="62">
        <f ca="1" t="shared" si="231"/>
        <v>14</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5" t="s">
        <v>215</v>
      </c>
      <c r="C4760" s="70">
        <v>45950</v>
      </c>
      <c r="D4760" s="40" t="str">
        <f>VLOOKUP(B4760,辅助信息!E:K,7,FALSE)</f>
        <v>JWDDCD2025102100486</v>
      </c>
      <c r="E4760" s="40" t="str">
        <f>VLOOKUP(F4760,辅助信息!A:B,2,FALSE)</f>
        <v>螺纹钢</v>
      </c>
      <c r="F4760" s="40" t="s">
        <v>82</v>
      </c>
      <c r="G4760" s="36">
        <v>3</v>
      </c>
      <c r="H4760" s="134">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09" t="str">
        <f>VLOOKUP(B4760,辅助信息!E:J,6,FALSE)</f>
        <v>联系实际收货人（孙敏13617695006）五冶建设送货单,6份材质书,锈货不收，装货前联系收货人核实到场规格,没提前告知进场规格现场不给予接收</v>
      </c>
      <c r="M4760" s="91">
        <v>45946</v>
      </c>
      <c r="O4760" s="62">
        <f ca="1" t="shared" si="230"/>
        <v>0</v>
      </c>
      <c r="P4760" s="62">
        <f ca="1" t="shared" si="231"/>
        <v>14</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5" t="s">
        <v>215</v>
      </c>
      <c r="C4761" s="70">
        <v>45950</v>
      </c>
      <c r="D4761" s="40" t="str">
        <f>VLOOKUP(B4761,辅助信息!E:K,7,FALSE)</f>
        <v>JWDDCD2025102100486</v>
      </c>
      <c r="E4761" s="40" t="str">
        <f>VLOOKUP(F4761,辅助信息!A:B,2,FALSE)</f>
        <v>螺纹钢</v>
      </c>
      <c r="F4761" s="40" t="s">
        <v>45</v>
      </c>
      <c r="G4761" s="36">
        <v>6</v>
      </c>
      <c r="H4761" s="134">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09" t="str">
        <f>VLOOKUP(B4761,辅助信息!E:J,6,FALSE)</f>
        <v>联系实际收货人（孙敏13617695006）五冶建设送货单,6份材质书,锈货不收，装货前联系收货人核实到场规格,没提前告知进场规格现场不给予接收</v>
      </c>
      <c r="M4761" s="91">
        <v>45946</v>
      </c>
      <c r="O4761" s="62">
        <f ca="1" t="shared" si="230"/>
        <v>0</v>
      </c>
      <c r="P4761" s="62">
        <f ca="1" t="shared" si="231"/>
        <v>14</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5" t="s">
        <v>215</v>
      </c>
      <c r="C4762" s="70">
        <v>45950</v>
      </c>
      <c r="D4762" s="40" t="str">
        <f>VLOOKUP(B4762,辅助信息!E:K,7,FALSE)</f>
        <v>JWDDCD2025102100486</v>
      </c>
      <c r="E4762" s="40" t="str">
        <f>VLOOKUP(F4762,辅助信息!A:B,2,FALSE)</f>
        <v>螺纹钢</v>
      </c>
      <c r="F4762" s="40" t="s">
        <v>21</v>
      </c>
      <c r="G4762" s="36">
        <v>6</v>
      </c>
      <c r="H4762" s="134">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09" t="str">
        <f>VLOOKUP(B4762,辅助信息!E:J,6,FALSE)</f>
        <v>联系实际收货人（孙敏13617695006）五冶建设送货单,6份材质书,锈货不收，装货前联系收货人核实到场规格,没提前告知进场规格现场不给予接收</v>
      </c>
      <c r="M4762" s="91">
        <v>45946</v>
      </c>
      <c r="O4762" s="62">
        <f ca="1" t="shared" si="230"/>
        <v>0</v>
      </c>
      <c r="P4762" s="62">
        <f ca="1" t="shared" si="231"/>
        <v>14</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5" t="s">
        <v>215</v>
      </c>
      <c r="C4763" s="70">
        <v>45950</v>
      </c>
      <c r="D4763" s="40" t="str">
        <f>VLOOKUP(B4763,辅助信息!E:K,7,FALSE)</f>
        <v>JWDDCD2025102100486</v>
      </c>
      <c r="E4763" s="40" t="str">
        <f>VLOOKUP(F4763,辅助信息!A:B,2,FALSE)</f>
        <v>螺纹钢</v>
      </c>
      <c r="F4763" s="40" t="s">
        <v>58</v>
      </c>
      <c r="G4763" s="36">
        <v>12</v>
      </c>
      <c r="H4763" s="134">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09" t="str">
        <f>VLOOKUP(B4763,辅助信息!E:J,6,FALSE)</f>
        <v>联系实际收货人（孙敏13617695006）五冶建设送货单,6份材质书,锈货不收，装货前联系收货人核实到场规格,没提前告知进场规格现场不给予接收</v>
      </c>
      <c r="M4763" s="91">
        <v>45946</v>
      </c>
      <c r="O4763" s="62">
        <f ca="1" t="shared" si="230"/>
        <v>0</v>
      </c>
      <c r="P4763" s="62">
        <f ca="1" t="shared" si="231"/>
        <v>14</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5" t="s">
        <v>215</v>
      </c>
      <c r="C4764" s="70">
        <v>45950</v>
      </c>
      <c r="D4764" s="40" t="str">
        <f>VLOOKUP(B4764,辅助信息!E:K,7,FALSE)</f>
        <v>JWDDCD2025102100486</v>
      </c>
      <c r="E4764" s="40" t="str">
        <f>VLOOKUP(F4764,辅助信息!A:B,2,FALSE)</f>
        <v>螺纹钢</v>
      </c>
      <c r="F4764" s="40" t="s">
        <v>46</v>
      </c>
      <c r="G4764" s="36">
        <v>12</v>
      </c>
      <c r="H4764" s="134">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09" t="str">
        <f>VLOOKUP(B4764,辅助信息!E:J,6,FALSE)</f>
        <v>联系实际收货人（孙敏13617695006）五冶建设送货单,6份材质书,锈货不收，装货前联系收货人核实到场规格,没提前告知进场规格现场不给予接收</v>
      </c>
      <c r="M4764" s="91">
        <v>45946</v>
      </c>
      <c r="O4764" s="62">
        <f ca="1" t="shared" si="230"/>
        <v>0</v>
      </c>
      <c r="P4764" s="62">
        <f ca="1" t="shared" si="231"/>
        <v>14</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5" t="s">
        <v>215</v>
      </c>
      <c r="C4765" s="70">
        <v>45950</v>
      </c>
      <c r="D4765" s="40" t="str">
        <f>VLOOKUP(B4765,辅助信息!E:K,7,FALSE)</f>
        <v>JWDDCD2025102100486</v>
      </c>
      <c r="E4765" s="40" t="str">
        <f>VLOOKUP(F4765,辅助信息!A:B,2,FALSE)</f>
        <v>螺纹钢</v>
      </c>
      <c r="F4765" s="40" t="s">
        <v>22</v>
      </c>
      <c r="G4765" s="36">
        <v>37</v>
      </c>
      <c r="H4765" s="134">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09" t="str">
        <f>VLOOKUP(B4765,辅助信息!E:J,6,FALSE)</f>
        <v>联系实际收货人（孙敏13617695006）五冶建设送货单,6份材质书,锈货不收，装货前联系收货人核实到场规格,没提前告知进场规格现场不给予接收</v>
      </c>
      <c r="M4765" s="91">
        <v>45946</v>
      </c>
      <c r="O4765" s="62">
        <f ca="1" t="shared" si="230"/>
        <v>0</v>
      </c>
      <c r="P4765" s="62">
        <f ca="1" t="shared" si="231"/>
        <v>14</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5" t="s">
        <v>215</v>
      </c>
      <c r="C4766" s="70">
        <v>45950</v>
      </c>
      <c r="D4766" s="40" t="str">
        <f>VLOOKUP(B4766,辅助信息!E:K,7,FALSE)</f>
        <v>JWDDCD2025102100486</v>
      </c>
      <c r="E4766" s="40" t="str">
        <f>VLOOKUP(F4766,辅助信息!A:B,2,FALSE)</f>
        <v>螺纹钢</v>
      </c>
      <c r="F4766" s="40" t="s">
        <v>181</v>
      </c>
      <c r="G4766" s="36">
        <v>1.5</v>
      </c>
      <c r="H4766" s="134">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09" t="str">
        <f>VLOOKUP(B4766,辅助信息!E:J,6,FALSE)</f>
        <v>联系实际收货人（孙敏13617695006）五冶建设送货单,6份材质书,锈货不收，装货前联系收货人核实到场规格,没提前告知进场规格现场不给予接收</v>
      </c>
      <c r="M4766" s="91">
        <v>45946</v>
      </c>
      <c r="O4766" s="62">
        <f ca="1" t="shared" si="230"/>
        <v>0</v>
      </c>
      <c r="P4766" s="62">
        <f ca="1" t="shared" si="231"/>
        <v>14</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5" t="s">
        <v>231</v>
      </c>
      <c r="C4767" s="70">
        <v>45950</v>
      </c>
      <c r="D4767" s="40" t="str">
        <f>VLOOKUP(B4767,辅助信息!E:K,7,FALSE)</f>
        <v>JWDDCD2025102100481</v>
      </c>
      <c r="E4767" s="40" t="str">
        <f>VLOOKUP(F4767,辅助信息!A:B,2,FALSE)</f>
        <v>盘螺</v>
      </c>
      <c r="F4767" s="40" t="s">
        <v>41</v>
      </c>
      <c r="G4767" s="36">
        <v>22</v>
      </c>
      <c r="H4767" s="134"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09" t="str">
        <f>VLOOKUP(B4767,辅助信息!E:J,6,FALSE)</f>
        <v>联系实际收货人（易前刚18228465067）五冶建设送货单,6份材质书,锈货不收，装货前联系收货人核实到场规格,没提前告知进场规格现场不给予接收</v>
      </c>
      <c r="M4767" s="91">
        <v>45950</v>
      </c>
      <c r="O4767" s="62">
        <f ca="1" t="shared" si="230"/>
        <v>0</v>
      </c>
      <c r="P4767" s="62">
        <f ca="1" t="shared" si="231"/>
        <v>10</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5" t="s">
        <v>231</v>
      </c>
      <c r="C4768" s="70">
        <v>45950</v>
      </c>
      <c r="D4768" s="40" t="str">
        <f>VLOOKUP(B4768,辅助信息!E:K,7,FALSE)</f>
        <v>JWDDCD2025102100481</v>
      </c>
      <c r="E4768" s="40" t="str">
        <f>VLOOKUP(F4768,辅助信息!A:B,2,FALSE)</f>
        <v>盘螺</v>
      </c>
      <c r="F4768" s="40" t="s">
        <v>26</v>
      </c>
      <c r="G4768" s="36">
        <v>10</v>
      </c>
      <c r="H4768" s="134"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09" t="str">
        <f>VLOOKUP(B4768,辅助信息!E:J,6,FALSE)</f>
        <v>联系实际收货人（易前刚18228465067）五冶建设送货单,6份材质书,锈货不收，装货前联系收货人核实到场规格,没提前告知进场规格现场不给予接收</v>
      </c>
      <c r="M4768" s="91">
        <v>45950</v>
      </c>
      <c r="O4768" s="62">
        <f ca="1" t="shared" ref="O4768:O4831" si="232">IF(OR(M4768="",N4768&lt;&gt;""),"",MAX(M4768-TODAY(),0))</f>
        <v>0</v>
      </c>
      <c r="P4768" s="62">
        <f ca="1" t="shared" ref="P4768:P4831" si="233">IF(M4768="","",IF(N4768&lt;&gt;"",MAX(N4768-M4768,0),IF(TODAY()&gt;M4768,TODAY()-M4768,0)))</f>
        <v>10</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5" t="s">
        <v>231</v>
      </c>
      <c r="C4769" s="70">
        <v>45950</v>
      </c>
      <c r="D4769" s="40" t="str">
        <f>VLOOKUP(B4769,辅助信息!E:K,7,FALSE)</f>
        <v>JWDDCD2025102100481</v>
      </c>
      <c r="E4769" s="40" t="str">
        <f>VLOOKUP(F4769,辅助信息!A:B,2,FALSE)</f>
        <v>螺纹钢</v>
      </c>
      <c r="F4769" s="40" t="s">
        <v>32</v>
      </c>
      <c r="G4769" s="36">
        <v>2.5</v>
      </c>
      <c r="H4769" s="134"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09" t="str">
        <f>VLOOKUP(B4769,辅助信息!E:J,6,FALSE)</f>
        <v>联系实际收货人（易前刚18228465067）五冶建设送货单,6份材质书,锈货不收，装货前联系收货人核实到场规格,没提前告知进场规格现场不给予接收</v>
      </c>
      <c r="M4769" s="91">
        <v>45950</v>
      </c>
      <c r="O4769" s="62">
        <f ca="1" t="shared" si="232"/>
        <v>0</v>
      </c>
      <c r="P4769" s="62">
        <f ca="1" t="shared" si="233"/>
        <v>10</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5" t="s">
        <v>194</v>
      </c>
      <c r="C4770" s="70">
        <v>45950</v>
      </c>
      <c r="D4770" s="40" t="str">
        <f>VLOOKUP(B4770,辅助信息!E:K,7,FALSE)</f>
        <v>JWDD2025071500089</v>
      </c>
      <c r="E4770" s="40" t="str">
        <f>VLOOKUP(F4770,辅助信息!A:B,2,FALSE)</f>
        <v>螺纹钢</v>
      </c>
      <c r="F4770" s="40" t="s">
        <v>27</v>
      </c>
      <c r="G4770" s="36">
        <v>10</v>
      </c>
      <c r="H4770" s="134"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09" t="str">
        <f>VLOOKUP(B4770,辅助信息!E:J,6,FALSE)</f>
        <v>现场要求调度统一联系指定收货人，不单独发司机位置。锈货不收，装货前联系收货人核实到场规格,没提前告知进场规格现场不给予接收</v>
      </c>
      <c r="O4770" s="62" t="str">
        <f ca="1" t="shared" si="232"/>
        <v/>
      </c>
      <c r="P4770" s="62"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5" t="s">
        <v>194</v>
      </c>
      <c r="C4771" s="70">
        <v>45950</v>
      </c>
      <c r="D4771" s="40" t="str">
        <f>VLOOKUP(B4771,辅助信息!E:K,7,FALSE)</f>
        <v>JWDD2025071500089</v>
      </c>
      <c r="E4771" s="40" t="str">
        <f>VLOOKUP(F4771,辅助信息!A:B,2,FALSE)</f>
        <v>螺纹钢</v>
      </c>
      <c r="F4771" s="40" t="s">
        <v>30</v>
      </c>
      <c r="G4771" s="36">
        <v>25</v>
      </c>
      <c r="H4771" s="134"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09" t="str">
        <f>VLOOKUP(B4771,辅助信息!E:J,6,FALSE)</f>
        <v>现场要求调度统一联系指定收货人，不单独发司机位置。锈货不收，装货前联系收货人核实到场规格,没提前告知进场规格现场不给予接收</v>
      </c>
      <c r="O4771" s="62" t="str">
        <f ca="1" t="shared" si="232"/>
        <v/>
      </c>
      <c r="P4771" s="62"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5" t="s">
        <v>187</v>
      </c>
      <c r="C4772" s="70">
        <v>45950</v>
      </c>
      <c r="D4772" s="40" t="str">
        <f>VLOOKUP(B4772,辅助信息!E:K,7,FALSE)</f>
        <v>JWDDCD2025072900121</v>
      </c>
      <c r="E4772" s="40" t="str">
        <f>VLOOKUP(F4772,辅助信息!A:B,2,FALSE)</f>
        <v>螺纹钢</v>
      </c>
      <c r="F4772" s="40" t="s">
        <v>82</v>
      </c>
      <c r="G4772" s="36">
        <v>10</v>
      </c>
      <c r="H4772" s="134"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09" t="str">
        <f>VLOOKUP(B4772,辅助信息!E:J,6,FALSE)</f>
        <v>联系实际收货人（范增云13668153241）现场要求炉批号控制2个以下，超2个不给予签收。提前联系到场规格及数量</v>
      </c>
      <c r="O4772" s="62" t="str">
        <f ca="1" t="shared" si="232"/>
        <v/>
      </c>
      <c r="P4772" s="62"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5" t="s">
        <v>187</v>
      </c>
      <c r="C4773" s="70">
        <v>45950</v>
      </c>
      <c r="D4773" s="40" t="str">
        <f>VLOOKUP(B4773,辅助信息!E:K,7,FALSE)</f>
        <v>JWDDCD2025072900121</v>
      </c>
      <c r="E4773" s="40" t="str">
        <f>VLOOKUP(F4773,辅助信息!A:B,2,FALSE)</f>
        <v>螺纹钢</v>
      </c>
      <c r="F4773" s="40" t="s">
        <v>22</v>
      </c>
      <c r="G4773" s="36">
        <v>15</v>
      </c>
      <c r="H4773" s="134"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09" t="str">
        <f>VLOOKUP(B4773,辅助信息!E:J,6,FALSE)</f>
        <v>联系实际收货人（范增云13668153241）现场要求炉批号控制2个以下，超2个不给予签收。提前联系到场规格及数量</v>
      </c>
      <c r="O4773" s="62" t="str">
        <f ca="1" t="shared" si="232"/>
        <v/>
      </c>
      <c r="P4773" s="62"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5" t="s">
        <v>187</v>
      </c>
      <c r="C4774" s="70">
        <v>45950</v>
      </c>
      <c r="D4774" s="40" t="str">
        <f>VLOOKUP(B4774,辅助信息!E:K,7,FALSE)</f>
        <v>JWDDCD2025072900121</v>
      </c>
      <c r="E4774" s="40" t="str">
        <f>VLOOKUP(F4774,辅助信息!A:B,2,FALSE)</f>
        <v>螺纹钢</v>
      </c>
      <c r="F4774" s="40" t="s">
        <v>142</v>
      </c>
      <c r="G4774" s="36">
        <v>10</v>
      </c>
      <c r="H4774" s="134"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09" t="str">
        <f>VLOOKUP(B4774,辅助信息!E:J,6,FALSE)</f>
        <v>联系实际收货人（范增云13668153241）现场要求炉批号控制2个以下，超2个不给予签收。提前联系到场规格及数量</v>
      </c>
      <c r="O4774" s="62" t="str">
        <f ca="1" t="shared" si="232"/>
        <v/>
      </c>
      <c r="P4774" s="62"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5" t="s">
        <v>167</v>
      </c>
      <c r="C4775" s="70">
        <v>45950</v>
      </c>
      <c r="D4775" s="40" t="str">
        <f>VLOOKUP(B4775,辅助信息!E:K,7,FALSE)</f>
        <v>JWDDCD2025102100473</v>
      </c>
      <c r="E4775" s="40" t="str">
        <f>VLOOKUP(F4775,辅助信息!A:B,2,FALSE)</f>
        <v>螺纹钢</v>
      </c>
      <c r="F4775" s="40" t="s">
        <v>19</v>
      </c>
      <c r="G4775" s="36">
        <v>6</v>
      </c>
      <c r="H4775" s="134"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09"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2" t="str">
        <f ca="1" t="shared" si="232"/>
        <v/>
      </c>
      <c r="P4775" s="62"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5" t="s">
        <v>167</v>
      </c>
      <c r="C4776" s="70">
        <v>45950</v>
      </c>
      <c r="D4776" s="40" t="str">
        <f>VLOOKUP(B4776,辅助信息!E:K,7,FALSE)</f>
        <v>JWDDCD2025102100473</v>
      </c>
      <c r="E4776" s="40" t="str">
        <f>VLOOKUP(F4776,辅助信息!A:B,2,FALSE)</f>
        <v>螺纹钢</v>
      </c>
      <c r="F4776" s="40" t="s">
        <v>66</v>
      </c>
      <c r="G4776" s="36">
        <v>6</v>
      </c>
      <c r="H4776" s="134"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09"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2" t="str">
        <f ca="1" t="shared" si="232"/>
        <v/>
      </c>
      <c r="P4776" s="62"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5" t="s">
        <v>167</v>
      </c>
      <c r="C4777" s="70">
        <v>45950</v>
      </c>
      <c r="D4777" s="40" t="str">
        <f>VLOOKUP(B4777,辅助信息!E:K,7,FALSE)</f>
        <v>JWDDCD2025102100473</v>
      </c>
      <c r="E4777" s="40" t="str">
        <f>VLOOKUP(F4777,辅助信息!A:B,2,FALSE)</f>
        <v>螺纹钢</v>
      </c>
      <c r="F4777" s="40" t="s">
        <v>82</v>
      </c>
      <c r="G4777" s="36">
        <v>8</v>
      </c>
      <c r="H4777" s="134"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09"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2" t="str">
        <f ca="1" t="shared" si="232"/>
        <v/>
      </c>
      <c r="P4777" s="62"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5" t="s">
        <v>167</v>
      </c>
      <c r="C4778" s="70">
        <v>45950</v>
      </c>
      <c r="D4778" s="40" t="str">
        <f>VLOOKUP(B4778,辅助信息!E:K,7,FALSE)</f>
        <v>JWDDCD2025102100473</v>
      </c>
      <c r="E4778" s="40" t="str">
        <f>VLOOKUP(F4778,辅助信息!A:B,2,FALSE)</f>
        <v>螺纹钢</v>
      </c>
      <c r="F4778" s="40" t="s">
        <v>45</v>
      </c>
      <c r="G4778" s="36">
        <v>8</v>
      </c>
      <c r="H4778" s="134"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09"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2" t="str">
        <f ca="1" t="shared" si="232"/>
        <v/>
      </c>
      <c r="P4778" s="62"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5" t="s">
        <v>167</v>
      </c>
      <c r="C4779" s="70">
        <v>45950</v>
      </c>
      <c r="D4779" s="40" t="str">
        <f>VLOOKUP(B4779,辅助信息!E:K,7,FALSE)</f>
        <v>JWDDCD2025102100473</v>
      </c>
      <c r="E4779" s="40" t="str">
        <f>VLOOKUP(F4779,辅助信息!A:B,2,FALSE)</f>
        <v>螺纹钢</v>
      </c>
      <c r="F4779" s="40" t="s">
        <v>21</v>
      </c>
      <c r="G4779" s="36">
        <v>3</v>
      </c>
      <c r="H4779" s="134"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09"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2" t="str">
        <f ca="1" t="shared" si="232"/>
        <v/>
      </c>
      <c r="P4779" s="62"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5" t="s">
        <v>167</v>
      </c>
      <c r="C4780" s="70">
        <v>45950</v>
      </c>
      <c r="D4780" s="40" t="str">
        <f>VLOOKUP(B4780,辅助信息!E:K,7,FALSE)</f>
        <v>JWDDCD2025102100473</v>
      </c>
      <c r="E4780" s="40" t="str">
        <f>VLOOKUP(F4780,辅助信息!A:B,2,FALSE)</f>
        <v>螺纹钢</v>
      </c>
      <c r="F4780" s="40" t="s">
        <v>58</v>
      </c>
      <c r="G4780" s="36">
        <v>3</v>
      </c>
      <c r="H4780" s="134"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09"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2" t="str">
        <f ca="1" t="shared" si="232"/>
        <v/>
      </c>
      <c r="P4780" s="62"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5" t="s">
        <v>167</v>
      </c>
      <c r="C4781" s="70">
        <v>45950</v>
      </c>
      <c r="D4781" s="40" t="str">
        <f>VLOOKUP(B4781,辅助信息!E:K,7,FALSE)</f>
        <v>JWDDCD2025102100473</v>
      </c>
      <c r="E4781" s="40" t="str">
        <f>VLOOKUP(F4781,辅助信息!A:B,2,FALSE)</f>
        <v>螺纹钢</v>
      </c>
      <c r="F4781" s="40" t="s">
        <v>46</v>
      </c>
      <c r="G4781" s="36">
        <v>11</v>
      </c>
      <c r="H4781" s="134"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09"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2" t="str">
        <f ca="1" t="shared" si="232"/>
        <v/>
      </c>
      <c r="P4781" s="62"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5" t="s">
        <v>167</v>
      </c>
      <c r="C4782" s="70">
        <v>45950</v>
      </c>
      <c r="D4782" s="40" t="str">
        <f>VLOOKUP(B4782,辅助信息!E:K,7,FALSE)</f>
        <v>JWDDCD2025102100473</v>
      </c>
      <c r="E4782" s="40" t="str">
        <f>VLOOKUP(F4782,辅助信息!A:B,2,FALSE)</f>
        <v>螺纹钢</v>
      </c>
      <c r="F4782" s="40" t="s">
        <v>22</v>
      </c>
      <c r="G4782" s="36">
        <v>46</v>
      </c>
      <c r="H4782" s="134"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09"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2" t="str">
        <f ca="1" t="shared" si="232"/>
        <v/>
      </c>
      <c r="P4782" s="62"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5" t="s">
        <v>167</v>
      </c>
      <c r="C4783" s="70">
        <v>45950</v>
      </c>
      <c r="D4783" s="40" t="str">
        <f>VLOOKUP(B4783,辅助信息!E:K,7,FALSE)</f>
        <v>JWDDCD2025102100473</v>
      </c>
      <c r="E4783" s="40" t="str">
        <f>VLOOKUP(F4783,辅助信息!A:B,2,FALSE)</f>
        <v>螺纹钢</v>
      </c>
      <c r="F4783" s="40" t="s">
        <v>181</v>
      </c>
      <c r="G4783" s="36">
        <v>8</v>
      </c>
      <c r="H4783" s="134"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09"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2" t="str">
        <f ca="1" t="shared" si="232"/>
        <v/>
      </c>
      <c r="P4783" s="62"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5" t="s">
        <v>167</v>
      </c>
      <c r="C4784" s="70">
        <v>45950</v>
      </c>
      <c r="D4784" s="40" t="str">
        <f>VLOOKUP(B4784,辅助信息!E:K,7,FALSE)</f>
        <v>JWDDCD2025102100473</v>
      </c>
      <c r="E4784" s="40" t="str">
        <f>VLOOKUP(F4784,辅助信息!A:B,2,FALSE)</f>
        <v>螺纹钢</v>
      </c>
      <c r="F4784" s="40" t="s">
        <v>182</v>
      </c>
      <c r="G4784" s="36">
        <v>6</v>
      </c>
      <c r="H4784" s="134"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09"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2" t="str">
        <f ca="1" t="shared" si="232"/>
        <v/>
      </c>
      <c r="P4784" s="62"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8" t="s">
        <v>225</v>
      </c>
      <c r="C4785" s="84">
        <v>45950</v>
      </c>
      <c r="D4785" s="26" t="str">
        <f>VLOOKUP(B4785,辅助信息!E:K,7,FALSE)</f>
        <v>JWDDCD2025092400210</v>
      </c>
      <c r="E4785" s="26" t="str">
        <f>VLOOKUP(F4785,辅助信息!A:B,2,FALSE)</f>
        <v>盘螺</v>
      </c>
      <c r="F4785" s="26" t="s">
        <v>41</v>
      </c>
      <c r="G4785" s="59">
        <v>10</v>
      </c>
      <c r="H4785" s="138">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1">
        <f>VLOOKUP(B4785,辅助信息!E:J,6,FALSE)</f>
        <v>0</v>
      </c>
      <c r="O4785" s="62" t="str">
        <f ca="1" t="shared" si="232"/>
        <v/>
      </c>
      <c r="P4785" s="62"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6" t="s">
        <v>68</v>
      </c>
      <c r="C4786" s="70">
        <v>45951</v>
      </c>
      <c r="D4786" s="120" t="str">
        <f>VLOOKUP(B4786,辅助信息!E:K,7,FALSE)</f>
        <v>JWDDCD2025052800131</v>
      </c>
      <c r="E4786" s="120" t="str">
        <f>VLOOKUP(F4786,辅助信息!A:B,2,FALSE)</f>
        <v>螺纹钢</v>
      </c>
      <c r="F4786" s="120" t="s">
        <v>30</v>
      </c>
      <c r="G4786" s="121">
        <v>12</v>
      </c>
      <c r="H4786" s="134"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0" t="str">
        <f>VLOOKUP(B4786,辅助信息!E:I,3,FALSE)</f>
        <v>（商投建工达州中医药科技园-2工区-景观桥）达州市通川区达州中医药职业学院犀牛大道北段</v>
      </c>
      <c r="J4786" s="120" t="str">
        <f>VLOOKUP(B4786,辅助信息!E:I,4,FALSE)</f>
        <v>李波</v>
      </c>
      <c r="K4786" s="120">
        <f>VLOOKUP(J4786,辅助信息!H:I,2,FALSE)</f>
        <v>18381899787</v>
      </c>
      <c r="L4786" s="122" t="str">
        <f>VLOOKUP(B4786,辅助信息!E:J,6,FALSE)</f>
        <v>控制炉批号！多了现场不收！,优先安排达钢,提前联系到场规格及数量</v>
      </c>
      <c r="M4786" s="91">
        <v>45944</v>
      </c>
      <c r="O4786" s="62">
        <f ca="1" t="shared" si="232"/>
        <v>0</v>
      </c>
      <c r="P4786" s="62">
        <f ca="1" t="shared" si="233"/>
        <v>16</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6" t="s">
        <v>240</v>
      </c>
      <c r="C4787" s="70">
        <v>45951</v>
      </c>
      <c r="D4787" s="120" t="str">
        <f>VLOOKUP(B4787,辅助信息!E:K,7,FALSE)</f>
        <v>JWDDCD2025092400204</v>
      </c>
      <c r="E4787" s="120" t="str">
        <f>VLOOKUP(F4787,辅助信息!A:B,2,FALSE)</f>
        <v>高线</v>
      </c>
      <c r="F4787" s="120" t="s">
        <v>53</v>
      </c>
      <c r="G4787" s="121">
        <v>2.5</v>
      </c>
      <c r="H4787" s="134">
        <f>IF(SUMIFS('[1]2025年已发货'!$E:$E,'[1]2025年已发货'!$F:$F,C4787,'[1]2025年已发货'!$C:$C,F4787,'[1]2025年已发货'!$G:$G,I4787,'[1]2025年已发货'!$H:$H,J4787)=0,"未发货",SUMIFS('[1]2025年已发货'!$E:$E,'[1]2025年已发货'!$F:$F,C4787,'[1]2025年已发货'!$C:$C,F4787,'[1]2025年已发货'!$G:$G,I4787,'[1]2025年已发货'!$H:$H,J4787))</f>
        <v>2.5</v>
      </c>
      <c r="I4787" s="120" t="str">
        <f>VLOOKUP(B4787,辅助信息!E:I,3,FALSE)</f>
        <v>(五冶钢构龙泉东洪片区70亩住宅、商业及配套工程项目三标段)成都市龙泉驿外东洪路地铁2号线惠王陵地铁C口</v>
      </c>
      <c r="J4787" s="120" t="str">
        <f>VLOOKUP(B4787,辅助信息!E:I,4,FALSE)</f>
        <v>蒋嗣伟</v>
      </c>
      <c r="K4787" s="120">
        <f>VLOOKUP(J4787,辅助信息!H:I,2,FALSE)</f>
        <v>15014331252</v>
      </c>
      <c r="L4787" s="122">
        <f>VLOOKUP(B4787,辅助信息!E:J,6,FALSE)</f>
        <v>0</v>
      </c>
      <c r="M4787" s="91">
        <v>45948</v>
      </c>
      <c r="O4787" s="62">
        <f ca="1" t="shared" si="232"/>
        <v>0</v>
      </c>
      <c r="P4787" s="62">
        <f ca="1" t="shared" si="233"/>
        <v>12</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6" t="s">
        <v>240</v>
      </c>
      <c r="C4788" s="70">
        <v>45951</v>
      </c>
      <c r="D4788" s="120" t="str">
        <f>VLOOKUP(B4788,辅助信息!E:K,7,FALSE)</f>
        <v>JWDDCD2025092400204</v>
      </c>
      <c r="E4788" s="120" t="str">
        <f>VLOOKUP(F4788,辅助信息!A:B,2,FALSE)</f>
        <v>盘螺</v>
      </c>
      <c r="F4788" s="120" t="s">
        <v>41</v>
      </c>
      <c r="G4788" s="121">
        <v>15</v>
      </c>
      <c r="H4788" s="134">
        <f>IF(SUMIFS('[1]2025年已发货'!$E:$E,'[1]2025年已发货'!$F:$F,C4788,'[1]2025年已发货'!$C:$C,F4788,'[1]2025年已发货'!$G:$G,I4788,'[1]2025年已发货'!$H:$H,J4788)=0,"未发货",SUMIFS('[1]2025年已发货'!$E:$E,'[1]2025年已发货'!$F:$F,C4788,'[1]2025年已发货'!$C:$C,F4788,'[1]2025年已发货'!$G:$G,I4788,'[1]2025年已发货'!$H:$H,J4788))</f>
        <v>15</v>
      </c>
      <c r="I4788" s="120" t="str">
        <f>VLOOKUP(B4788,辅助信息!E:I,3,FALSE)</f>
        <v>(五冶钢构龙泉东洪片区70亩住宅、商业及配套工程项目三标段)成都市龙泉驿外东洪路地铁2号线惠王陵地铁C口</v>
      </c>
      <c r="J4788" s="120" t="str">
        <f>VLOOKUP(B4788,辅助信息!E:I,4,FALSE)</f>
        <v>蒋嗣伟</v>
      </c>
      <c r="K4788" s="120">
        <f>VLOOKUP(J4788,辅助信息!H:I,2,FALSE)</f>
        <v>15014331252</v>
      </c>
      <c r="L4788" s="122">
        <f>VLOOKUP(B4788,辅助信息!E:J,6,FALSE)</f>
        <v>0</v>
      </c>
      <c r="M4788" s="91">
        <v>45948</v>
      </c>
      <c r="O4788" s="62">
        <f ca="1" t="shared" si="232"/>
        <v>0</v>
      </c>
      <c r="P4788" s="62">
        <f ca="1" t="shared" si="233"/>
        <v>12</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6" t="s">
        <v>240</v>
      </c>
      <c r="C4789" s="70">
        <v>45951</v>
      </c>
      <c r="D4789" s="120" t="str">
        <f>VLOOKUP(B4789,辅助信息!E:K,7,FALSE)</f>
        <v>JWDDCD2025092400204</v>
      </c>
      <c r="E4789" s="120" t="str">
        <f>VLOOKUP(F4789,辅助信息!A:B,2,FALSE)</f>
        <v>盘螺</v>
      </c>
      <c r="F4789" s="120" t="s">
        <v>49</v>
      </c>
      <c r="G4789" s="121">
        <v>5</v>
      </c>
      <c r="H4789" s="134">
        <f>IF(SUMIFS('[1]2025年已发货'!$E:$E,'[1]2025年已发货'!$F:$F,C4789,'[1]2025年已发货'!$C:$C,F4789,'[1]2025年已发货'!$G:$G,I4789,'[1]2025年已发货'!$H:$H,J4789)=0,"未发货",SUMIFS('[1]2025年已发货'!$E:$E,'[1]2025年已发货'!$F:$F,C4789,'[1]2025年已发货'!$C:$C,F4789,'[1]2025年已发货'!$G:$G,I4789,'[1]2025年已发货'!$H:$H,J4789))</f>
        <v>5</v>
      </c>
      <c r="I4789" s="120" t="str">
        <f>VLOOKUP(B4789,辅助信息!E:I,3,FALSE)</f>
        <v>(五冶钢构龙泉东洪片区70亩住宅、商业及配套工程项目三标段)成都市龙泉驿外东洪路地铁2号线惠王陵地铁C口</v>
      </c>
      <c r="J4789" s="120" t="str">
        <f>VLOOKUP(B4789,辅助信息!E:I,4,FALSE)</f>
        <v>蒋嗣伟</v>
      </c>
      <c r="K4789" s="120">
        <f>VLOOKUP(J4789,辅助信息!H:I,2,FALSE)</f>
        <v>15014331252</v>
      </c>
      <c r="L4789" s="122">
        <f>VLOOKUP(B4789,辅助信息!E:J,6,FALSE)</f>
        <v>0</v>
      </c>
      <c r="M4789" s="91">
        <v>45948</v>
      </c>
      <c r="O4789" s="62">
        <f ca="1" t="shared" si="232"/>
        <v>0</v>
      </c>
      <c r="P4789" s="62">
        <f ca="1" t="shared" si="233"/>
        <v>12</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6" t="s">
        <v>240</v>
      </c>
      <c r="C4790" s="70">
        <v>45951</v>
      </c>
      <c r="D4790" s="120" t="str">
        <f>VLOOKUP(B4790,辅助信息!E:K,7,FALSE)</f>
        <v>JWDDCD2025092400204</v>
      </c>
      <c r="E4790" s="120" t="str">
        <f>VLOOKUP(F4790,辅助信息!A:B,2,FALSE)</f>
        <v>盘螺</v>
      </c>
      <c r="F4790" s="120" t="s">
        <v>40</v>
      </c>
      <c r="G4790" s="121">
        <v>10</v>
      </c>
      <c r="H4790" s="134">
        <f>IF(SUMIFS('[1]2025年已发货'!$E:$E,'[1]2025年已发货'!$F:$F,C4790,'[1]2025年已发货'!$C:$C,F4790,'[1]2025年已发货'!$G:$G,I4790,'[1]2025年已发货'!$H:$H,J4790)=0,"未发货",SUMIFS('[1]2025年已发货'!$E:$E,'[1]2025年已发货'!$F:$F,C4790,'[1]2025年已发货'!$C:$C,F4790,'[1]2025年已发货'!$G:$G,I4790,'[1]2025年已发货'!$H:$H,J4790))</f>
        <v>10</v>
      </c>
      <c r="I4790" s="120" t="str">
        <f>VLOOKUP(B4790,辅助信息!E:I,3,FALSE)</f>
        <v>(五冶钢构龙泉东洪片区70亩住宅、商业及配套工程项目三标段)成都市龙泉驿外东洪路地铁2号线惠王陵地铁C口</v>
      </c>
      <c r="J4790" s="120" t="str">
        <f>VLOOKUP(B4790,辅助信息!E:I,4,FALSE)</f>
        <v>蒋嗣伟</v>
      </c>
      <c r="K4790" s="120">
        <f>VLOOKUP(J4790,辅助信息!H:I,2,FALSE)</f>
        <v>15014331252</v>
      </c>
      <c r="L4790" s="122">
        <f>VLOOKUP(B4790,辅助信息!E:J,6,FALSE)</f>
        <v>0</v>
      </c>
      <c r="M4790" s="91">
        <v>45948</v>
      </c>
      <c r="O4790" s="62">
        <f ca="1" t="shared" si="232"/>
        <v>0</v>
      </c>
      <c r="P4790" s="62">
        <f ca="1" t="shared" si="233"/>
        <v>12</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6" t="s">
        <v>229</v>
      </c>
      <c r="C4791" s="70">
        <v>45952</v>
      </c>
      <c r="D4791" s="120" t="str">
        <f>VLOOKUP(B4791,辅助信息!E:K,7,FALSE)</f>
        <v>JWDDCD2025092400212</v>
      </c>
      <c r="E4791" s="120" t="str">
        <f>VLOOKUP(F4791,辅助信息!A:B,2,FALSE)</f>
        <v>盘螺</v>
      </c>
      <c r="F4791" s="120" t="s">
        <v>41</v>
      </c>
      <c r="G4791" s="121">
        <f>62-28</f>
        <v>34</v>
      </c>
      <c r="H4791" s="134">
        <f>IF(SUMIFS('[1]2025年已发货'!$E:$E,'[1]2025年已发货'!$F:$F,C4791,'[1]2025年已发货'!$C:$C,F4791,'[1]2025年已发货'!$G:$G,I4791,'[1]2025年已发货'!$H:$H,J4791)=0,"未发货",SUMIFS('[1]2025年已发货'!$E:$E,'[1]2025年已发货'!$F:$F,C4791,'[1]2025年已发货'!$C:$C,F4791,'[1]2025年已发货'!$G:$G,I4791,'[1]2025年已发货'!$H:$H,J4791))</f>
        <v>34</v>
      </c>
      <c r="I4791" s="156" t="str">
        <f>VLOOKUP(B4791,辅助信息!E:I,3,FALSE)</f>
        <v>(五冶钢构龙泉东洪片区85亩住宅、商业及配套工程项目三标段)成都市龙泉驿外东洪路地铁2号线惠王陵地铁C口</v>
      </c>
      <c r="J4791" s="120" t="str">
        <f>VLOOKUP(B4791,辅助信息!E:I,4,FALSE)</f>
        <v>王军宝</v>
      </c>
      <c r="K4791" s="120">
        <f>VLOOKUP(J4791,辅助信息!H:I,2,FALSE)</f>
        <v>13889142392</v>
      </c>
      <c r="L4791" s="122">
        <f>VLOOKUP(B4791,辅助信息!E:J,6,FALSE)</f>
        <v>0</v>
      </c>
      <c r="M4791" s="91">
        <v>45948</v>
      </c>
      <c r="O4791" s="62">
        <f ca="1" t="shared" si="232"/>
        <v>0</v>
      </c>
      <c r="P4791" s="62">
        <f ca="1" t="shared" si="233"/>
        <v>12</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6" t="s">
        <v>229</v>
      </c>
      <c r="C4792" s="70">
        <v>45952</v>
      </c>
      <c r="D4792" s="120" t="str">
        <f>VLOOKUP(B4792,辅助信息!E:K,7,FALSE)</f>
        <v>JWDDCD2025092400212</v>
      </c>
      <c r="E4792" s="120" t="str">
        <f>VLOOKUP(F4792,辅助信息!A:B,2,FALSE)</f>
        <v>盘螺</v>
      </c>
      <c r="F4792" s="120" t="s">
        <v>40</v>
      </c>
      <c r="G4792" s="121">
        <f>109-34</f>
        <v>75</v>
      </c>
      <c r="H4792" s="134">
        <f>IF(SUMIFS('[1]2025年已发货'!$E:$E,'[1]2025年已发货'!$F:$F,C4792,'[1]2025年已发货'!$C:$C,F4792,'[1]2025年已发货'!$G:$G,I4792,'[1]2025年已发货'!$H:$H,J4792)=0,"未发货",SUMIFS('[1]2025年已发货'!$E:$E,'[1]2025年已发货'!$F:$F,C4792,'[1]2025年已发货'!$C:$C,F4792,'[1]2025年已发货'!$G:$G,I4792,'[1]2025年已发货'!$H:$H,J4792))</f>
        <v>34</v>
      </c>
      <c r="I4792" s="156" t="str">
        <f>VLOOKUP(B4792,辅助信息!E:I,3,FALSE)</f>
        <v>(五冶钢构龙泉东洪片区85亩住宅、商业及配套工程项目三标段)成都市龙泉驿外东洪路地铁2号线惠王陵地铁C口</v>
      </c>
      <c r="J4792" s="120" t="str">
        <f>VLOOKUP(B4792,辅助信息!E:I,4,FALSE)</f>
        <v>王军宝</v>
      </c>
      <c r="K4792" s="120">
        <f>VLOOKUP(J4792,辅助信息!H:I,2,FALSE)</f>
        <v>13889142392</v>
      </c>
      <c r="L4792" s="122">
        <f>VLOOKUP(B4792,辅助信息!E:J,6,FALSE)</f>
        <v>0</v>
      </c>
      <c r="M4792" s="91">
        <v>45948</v>
      </c>
      <c r="O4792" s="62">
        <f ca="1" t="shared" si="232"/>
        <v>0</v>
      </c>
      <c r="P4792" s="62">
        <f ca="1" t="shared" si="233"/>
        <v>12</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6" t="s">
        <v>228</v>
      </c>
      <c r="C4793" s="70">
        <v>45952</v>
      </c>
      <c r="D4793" s="120" t="str">
        <f>VLOOKUP(B4793,辅助信息!E:K,7,FALSE)</f>
        <v>JWDDCD2025092400190</v>
      </c>
      <c r="E4793" s="120" t="str">
        <f>VLOOKUP(F4793,辅助信息!A:B,2,FALSE)</f>
        <v>盘螺</v>
      </c>
      <c r="F4793" s="120" t="s">
        <v>41</v>
      </c>
      <c r="G4793" s="121">
        <f>50-34</f>
        <v>16</v>
      </c>
      <c r="H4793" s="134"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6" t="str">
        <f>VLOOKUP(B4793,辅助信息!E:I,3,FALSE)</f>
        <v>(五冶钢构龙泉东洪片区70亩住宅、商业及配套工程项目二标段)成都市龙泉驿外东洪路地铁2号线惠王陵地铁C口</v>
      </c>
      <c r="J4793" s="120" t="str">
        <f>VLOOKUP(B4793,辅助信息!E:I,4,FALSE)</f>
        <v>蒋嗣伟</v>
      </c>
      <c r="K4793" s="120">
        <f>VLOOKUP(J4793,辅助信息!H:I,2,FALSE)</f>
        <v>15014331252</v>
      </c>
      <c r="L4793" s="122">
        <f>VLOOKUP(B4793,辅助信息!E:J,6,FALSE)</f>
        <v>0</v>
      </c>
      <c r="M4793" s="91">
        <v>45948</v>
      </c>
      <c r="O4793" s="62">
        <f ca="1" t="shared" si="232"/>
        <v>0</v>
      </c>
      <c r="P4793" s="62">
        <f ca="1" t="shared" si="233"/>
        <v>12</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6" t="s">
        <v>112</v>
      </c>
      <c r="C4794" s="70">
        <v>45952</v>
      </c>
      <c r="D4794" s="120" t="str">
        <f>VLOOKUP(B4794,辅助信息!E:K,7,FALSE)</f>
        <v>JWDDCD2025052800131</v>
      </c>
      <c r="E4794" s="120" t="str">
        <f>VLOOKUP(F4794,辅助信息!A:B,2,FALSE)</f>
        <v>盘螺</v>
      </c>
      <c r="F4794" s="120" t="s">
        <v>49</v>
      </c>
      <c r="G4794" s="121">
        <v>9</v>
      </c>
      <c r="H4794" s="134"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6" t="str">
        <f>VLOOKUP(B4794,辅助信息!E:I,3,FALSE)</f>
        <v>（商投建工达州中医药科技园-4工区-10号楼）达州市通川区达州中医药职业学院犀牛大道北段</v>
      </c>
      <c r="J4794" s="120" t="str">
        <f>VLOOKUP(B4794,辅助信息!E:I,4,FALSE)</f>
        <v>张扬</v>
      </c>
      <c r="K4794" s="120">
        <f>VLOOKUP(J4794,辅助信息!H:I,2,FALSE)</f>
        <v>18381904567</v>
      </c>
      <c r="L4794" s="122" t="str">
        <f>VLOOKUP(B4794,辅助信息!E:J,6,FALSE)</f>
        <v>控制炉批号！多了现场不收！,优先安排达钢,提前联系到场规格及数量</v>
      </c>
      <c r="M4794" s="91">
        <v>45948</v>
      </c>
      <c r="O4794" s="62">
        <f ca="1" t="shared" si="232"/>
        <v>0</v>
      </c>
      <c r="P4794" s="62">
        <f ca="1" t="shared" si="233"/>
        <v>12</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6" t="s">
        <v>112</v>
      </c>
      <c r="C4795" s="70">
        <v>45952</v>
      </c>
      <c r="D4795" s="120" t="str">
        <f>VLOOKUP(B4795,辅助信息!E:K,7,FALSE)</f>
        <v>JWDDCD2025052800131</v>
      </c>
      <c r="E4795" s="120" t="str">
        <f>VLOOKUP(F4795,辅助信息!A:B,2,FALSE)</f>
        <v>螺纹钢</v>
      </c>
      <c r="F4795" s="120" t="s">
        <v>21</v>
      </c>
      <c r="G4795" s="121">
        <v>9</v>
      </c>
      <c r="H4795" s="134"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6" t="str">
        <f>VLOOKUP(B4795,辅助信息!E:I,3,FALSE)</f>
        <v>（商投建工达州中医药科技园-4工区-10号楼）达州市通川区达州中医药职业学院犀牛大道北段</v>
      </c>
      <c r="J4795" s="120" t="str">
        <f>VLOOKUP(B4795,辅助信息!E:I,4,FALSE)</f>
        <v>张扬</v>
      </c>
      <c r="K4795" s="120">
        <f>VLOOKUP(J4795,辅助信息!H:I,2,FALSE)</f>
        <v>18381904567</v>
      </c>
      <c r="L4795" s="122" t="str">
        <f>VLOOKUP(B4795,辅助信息!E:J,6,FALSE)</f>
        <v>控制炉批号！多了现场不收！,优先安排达钢,提前联系到场规格及数量</v>
      </c>
      <c r="M4795" s="91">
        <v>45948</v>
      </c>
      <c r="O4795" s="62">
        <f ca="1" t="shared" si="232"/>
        <v>0</v>
      </c>
      <c r="P4795" s="62">
        <f ca="1" t="shared" si="233"/>
        <v>12</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6" t="s">
        <v>112</v>
      </c>
      <c r="C4796" s="70">
        <v>45952</v>
      </c>
      <c r="D4796" s="120" t="str">
        <f>VLOOKUP(B4796,辅助信息!E:K,7,FALSE)</f>
        <v>JWDDCD2025052800131</v>
      </c>
      <c r="E4796" s="120" t="str">
        <f>VLOOKUP(F4796,辅助信息!A:B,2,FALSE)</f>
        <v>螺纹钢</v>
      </c>
      <c r="F4796" s="120" t="s">
        <v>58</v>
      </c>
      <c r="G4796" s="121">
        <v>9</v>
      </c>
      <c r="H4796" s="134"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6" t="str">
        <f>VLOOKUP(B4796,辅助信息!E:I,3,FALSE)</f>
        <v>（商投建工达州中医药科技园-4工区-10号楼）达州市通川区达州中医药职业学院犀牛大道北段</v>
      </c>
      <c r="J4796" s="120" t="str">
        <f>VLOOKUP(B4796,辅助信息!E:I,4,FALSE)</f>
        <v>张扬</v>
      </c>
      <c r="K4796" s="120">
        <f>VLOOKUP(J4796,辅助信息!H:I,2,FALSE)</f>
        <v>18381904567</v>
      </c>
      <c r="L4796" s="122" t="str">
        <f>VLOOKUP(B4796,辅助信息!E:J,6,FALSE)</f>
        <v>控制炉批号！多了现场不收！,优先安排达钢,提前联系到场规格及数量</v>
      </c>
      <c r="M4796" s="91">
        <v>45948</v>
      </c>
      <c r="O4796" s="62">
        <f ca="1" t="shared" si="232"/>
        <v>0</v>
      </c>
      <c r="P4796" s="62">
        <f ca="1" t="shared" si="233"/>
        <v>12</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6" t="s">
        <v>112</v>
      </c>
      <c r="C4797" s="70">
        <v>45952</v>
      </c>
      <c r="D4797" s="120" t="str">
        <f>VLOOKUP(B4797,辅助信息!E:K,7,FALSE)</f>
        <v>JWDDCD2025052800131</v>
      </c>
      <c r="E4797" s="120" t="str">
        <f>VLOOKUP(F4797,辅助信息!A:B,2,FALSE)</f>
        <v>螺纹钢</v>
      </c>
      <c r="F4797" s="120" t="s">
        <v>22</v>
      </c>
      <c r="G4797" s="121">
        <v>9</v>
      </c>
      <c r="H4797" s="134"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6" t="str">
        <f>VLOOKUP(B4797,辅助信息!E:I,3,FALSE)</f>
        <v>（商投建工达州中医药科技园-4工区-10号楼）达州市通川区达州中医药职业学院犀牛大道北段</v>
      </c>
      <c r="J4797" s="120" t="str">
        <f>VLOOKUP(B4797,辅助信息!E:I,4,FALSE)</f>
        <v>张扬</v>
      </c>
      <c r="K4797" s="120">
        <f>VLOOKUP(J4797,辅助信息!H:I,2,FALSE)</f>
        <v>18381904567</v>
      </c>
      <c r="L4797" s="122" t="str">
        <f>VLOOKUP(B4797,辅助信息!E:J,6,FALSE)</f>
        <v>控制炉批号！多了现场不收！,优先安排达钢,提前联系到场规格及数量</v>
      </c>
      <c r="M4797" s="91">
        <v>45948</v>
      </c>
      <c r="O4797" s="62">
        <f ca="1" t="shared" si="232"/>
        <v>0</v>
      </c>
      <c r="P4797" s="62">
        <f ca="1" t="shared" si="233"/>
        <v>12</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6" t="s">
        <v>47</v>
      </c>
      <c r="C4798" s="70">
        <v>45952</v>
      </c>
      <c r="D4798" s="120" t="str">
        <f>VLOOKUP(B4798,辅助信息!E:K,7,FALSE)</f>
        <v>JWDDCD2025052800131</v>
      </c>
      <c r="E4798" s="120" t="str">
        <f>VLOOKUP(F4798,辅助信息!A:B,2,FALSE)</f>
        <v>高线</v>
      </c>
      <c r="F4798" s="120" t="s">
        <v>57</v>
      </c>
      <c r="G4798" s="121">
        <v>9</v>
      </c>
      <c r="H4798" s="134"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6" t="str">
        <f>VLOOKUP(B4798,辅助信息!E:I,3,FALSE)</f>
        <v>（商投建工达州中医药科技园-1工区）达州市通川区达州中医药职业学院犀牛大道北段</v>
      </c>
      <c r="J4798" s="120" t="str">
        <f>VLOOKUP(B4798,辅助信息!E:I,4,FALSE)</f>
        <v>程黄刚</v>
      </c>
      <c r="K4798" s="120">
        <f>VLOOKUP(J4798,辅助信息!H:I,2,FALSE)</f>
        <v>15108211617</v>
      </c>
      <c r="L4798" s="122" t="str">
        <f>VLOOKUP(B4798,辅助信息!E:J,6,FALSE)</f>
        <v>控制炉批号！多了现场不收！,优先安排达钢,提前联系到场规格及数量</v>
      </c>
      <c r="M4798" s="91">
        <v>45948</v>
      </c>
      <c r="O4798" s="62">
        <f ca="1" t="shared" si="232"/>
        <v>0</v>
      </c>
      <c r="P4798" s="62">
        <f ca="1" t="shared" si="233"/>
        <v>12</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6" t="s">
        <v>47</v>
      </c>
      <c r="C4799" s="70">
        <v>45952</v>
      </c>
      <c r="D4799" s="120" t="str">
        <f>VLOOKUP(B4799,辅助信息!E:K,7,FALSE)</f>
        <v>JWDDCD2025052800131</v>
      </c>
      <c r="E4799" s="120" t="str">
        <f>VLOOKUP(F4799,辅助信息!A:B,2,FALSE)</f>
        <v>螺纹钢</v>
      </c>
      <c r="F4799" s="120" t="s">
        <v>33</v>
      </c>
      <c r="G4799" s="121">
        <v>6</v>
      </c>
      <c r="H4799" s="134"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6" t="str">
        <f>VLOOKUP(B4799,辅助信息!E:I,3,FALSE)</f>
        <v>（商投建工达州中医药科技园-1工区）达州市通川区达州中医药职业学院犀牛大道北段</v>
      </c>
      <c r="J4799" s="120" t="str">
        <f>VLOOKUP(B4799,辅助信息!E:I,4,FALSE)</f>
        <v>程黄刚</v>
      </c>
      <c r="K4799" s="120">
        <f>VLOOKUP(J4799,辅助信息!H:I,2,FALSE)</f>
        <v>15108211617</v>
      </c>
      <c r="L4799" s="122" t="str">
        <f>VLOOKUP(B4799,辅助信息!E:J,6,FALSE)</f>
        <v>控制炉批号！多了现场不收！,优先安排达钢,提前联系到场规格及数量</v>
      </c>
      <c r="M4799" s="91">
        <v>45948</v>
      </c>
      <c r="O4799" s="62">
        <f ca="1" t="shared" si="232"/>
        <v>0</v>
      </c>
      <c r="P4799" s="62">
        <f ca="1" t="shared" si="233"/>
        <v>12</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6" t="s">
        <v>163</v>
      </c>
      <c r="C4800" s="70">
        <v>45952</v>
      </c>
      <c r="D4800" s="120" t="str">
        <f>VLOOKUP(B4800,辅助信息!E:K,7,FALSE)</f>
        <v>JWDDCD2025052800131</v>
      </c>
      <c r="E4800" s="120" t="str">
        <f>VLOOKUP(F4800,辅助信息!A:B,2,FALSE)</f>
        <v>盘螺</v>
      </c>
      <c r="F4800" s="120" t="s">
        <v>49</v>
      </c>
      <c r="G4800" s="121">
        <v>18</v>
      </c>
      <c r="H4800" s="134"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6" t="str">
        <f>VLOOKUP(B4800,辅助信息!E:I,3,FALSE)</f>
        <v>（商投建工达州中医药科技园-4工区-9号楼）达州市通川区达州中医药职业学院犀牛大道北段</v>
      </c>
      <c r="J4800" s="120" t="str">
        <f>VLOOKUP(B4800,辅助信息!E:I,4,FALSE)</f>
        <v>张扬</v>
      </c>
      <c r="K4800" s="120">
        <f>VLOOKUP(J4800,辅助信息!H:I,2,FALSE)</f>
        <v>18381904567</v>
      </c>
      <c r="L4800" s="122" t="str">
        <f>VLOOKUP(B4800,辅助信息!E:J,6,FALSE)</f>
        <v>控制炉批号！多了现场不收！,优先安排达钢,提前联系到场规格及数量</v>
      </c>
      <c r="M4800" s="91">
        <v>45949</v>
      </c>
      <c r="O4800" s="62">
        <f ca="1" t="shared" si="232"/>
        <v>0</v>
      </c>
      <c r="P4800" s="62">
        <f ca="1" t="shared" si="233"/>
        <v>11</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6" t="s">
        <v>203</v>
      </c>
      <c r="C4801" s="70">
        <v>45952</v>
      </c>
      <c r="D4801" s="120" t="str">
        <f>VLOOKUP(B4801,辅助信息!E:K,7,FALSE)</f>
        <v>JWDDCD2025102100479</v>
      </c>
      <c r="E4801" s="120" t="str">
        <f>VLOOKUP(F4801,辅助信息!A:B,2,FALSE)</f>
        <v>高线</v>
      </c>
      <c r="F4801" s="120" t="s">
        <v>57</v>
      </c>
      <c r="G4801" s="121">
        <v>2</v>
      </c>
      <c r="H4801" s="134">
        <f>IF(SUMIFS('[1]2025年已发货'!$E:$E,'[1]2025年已发货'!$F:$F,C4801,'[1]2025年已发货'!$C:$C,F4801,'[1]2025年已发货'!$G:$G,I4801,'[1]2025年已发货'!$H:$H,J4801)=0,"未发货",SUMIFS('[1]2025年已发货'!$E:$E,'[1]2025年已发货'!$F:$F,C4801,'[1]2025年已发货'!$C:$C,F4801,'[1]2025年已发货'!$G:$G,I4801,'[1]2025年已发货'!$H:$H,J4801))</f>
        <v>2</v>
      </c>
      <c r="I4801" s="156" t="str">
        <f>VLOOKUP(B4801,辅助信息!E:I,3,FALSE)</f>
        <v>(五冶建设空港兴城怡心街道83亩项目)成都市双流区怡心街道高峰社区一组剑和路一段空港兴城怡心街道83亩项目中国五冶项目部</v>
      </c>
      <c r="J4801" s="120" t="str">
        <f>VLOOKUP(B4801,辅助信息!E:I,4,FALSE)</f>
        <v>王刚</v>
      </c>
      <c r="K4801" s="120">
        <f>VLOOKUP(J4801,辅助信息!H:I,2,FALSE)</f>
        <v>15881190525</v>
      </c>
      <c r="L4801" s="122"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1">
        <v>45949</v>
      </c>
      <c r="O4801" s="62">
        <f ca="1" t="shared" si="232"/>
        <v>0</v>
      </c>
      <c r="P4801" s="62">
        <f ca="1" t="shared" si="233"/>
        <v>11</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6" t="s">
        <v>203</v>
      </c>
      <c r="C4802" s="70">
        <v>45952</v>
      </c>
      <c r="D4802" s="120" t="str">
        <f>VLOOKUP(B4802,辅助信息!E:K,7,FALSE)</f>
        <v>JWDDCD2025102100479</v>
      </c>
      <c r="E4802" s="120" t="str">
        <f>VLOOKUP(F4802,辅助信息!A:B,2,FALSE)</f>
        <v>盘螺</v>
      </c>
      <c r="F4802" s="120" t="s">
        <v>49</v>
      </c>
      <c r="G4802" s="121">
        <v>2</v>
      </c>
      <c r="H4802" s="134">
        <f>IF(SUMIFS('[1]2025年已发货'!$E:$E,'[1]2025年已发货'!$F:$F,C4802,'[1]2025年已发货'!$C:$C,F4802,'[1]2025年已发货'!$G:$G,I4802,'[1]2025年已发货'!$H:$H,J4802)=0,"未发货",SUMIFS('[1]2025年已发货'!$E:$E,'[1]2025年已发货'!$F:$F,C4802,'[1]2025年已发货'!$C:$C,F4802,'[1]2025年已发货'!$G:$G,I4802,'[1]2025年已发货'!$H:$H,J4802))</f>
        <v>2</v>
      </c>
      <c r="I4802" s="156" t="str">
        <f>VLOOKUP(B4802,辅助信息!E:I,3,FALSE)</f>
        <v>(五冶建设空港兴城怡心街道83亩项目)成都市双流区怡心街道高峰社区一组剑和路一段空港兴城怡心街道83亩项目中国五冶项目部</v>
      </c>
      <c r="J4802" s="120" t="str">
        <f>VLOOKUP(B4802,辅助信息!E:I,4,FALSE)</f>
        <v>王刚</v>
      </c>
      <c r="K4802" s="120">
        <f>VLOOKUP(J4802,辅助信息!H:I,2,FALSE)</f>
        <v>15881190525</v>
      </c>
      <c r="L4802" s="122"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1">
        <v>45949</v>
      </c>
      <c r="O4802" s="62">
        <f ca="1" t="shared" si="232"/>
        <v>0</v>
      </c>
      <c r="P4802" s="62">
        <f ca="1" t="shared" si="233"/>
        <v>11</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6" t="s">
        <v>203</v>
      </c>
      <c r="C4803" s="70">
        <v>45952</v>
      </c>
      <c r="D4803" s="120" t="str">
        <f>VLOOKUP(B4803,辅助信息!E:K,7,FALSE)</f>
        <v>JWDDCD2025102100479</v>
      </c>
      <c r="E4803" s="120" t="str">
        <f>VLOOKUP(F4803,辅助信息!A:B,2,FALSE)</f>
        <v>盘螺</v>
      </c>
      <c r="F4803" s="120" t="s">
        <v>40</v>
      </c>
      <c r="G4803" s="121">
        <v>12</v>
      </c>
      <c r="H4803" s="134">
        <f>IF(SUMIFS('[1]2025年已发货'!$E:$E,'[1]2025年已发货'!$F:$F,C4803,'[1]2025年已发货'!$C:$C,F4803,'[1]2025年已发货'!$G:$G,I4803,'[1]2025年已发货'!$H:$H,J4803)=0,"未发货",SUMIFS('[1]2025年已发货'!$E:$E,'[1]2025年已发货'!$F:$F,C4803,'[1]2025年已发货'!$C:$C,F4803,'[1]2025年已发货'!$G:$G,I4803,'[1]2025年已发货'!$H:$H,J4803))</f>
        <v>12</v>
      </c>
      <c r="I4803" s="156" t="str">
        <f>VLOOKUP(B4803,辅助信息!E:I,3,FALSE)</f>
        <v>(五冶建设空港兴城怡心街道83亩项目)成都市双流区怡心街道高峰社区一组剑和路一段空港兴城怡心街道83亩项目中国五冶项目部</v>
      </c>
      <c r="J4803" s="120" t="str">
        <f>VLOOKUP(B4803,辅助信息!E:I,4,FALSE)</f>
        <v>王刚</v>
      </c>
      <c r="K4803" s="120">
        <f>VLOOKUP(J4803,辅助信息!H:I,2,FALSE)</f>
        <v>15881190525</v>
      </c>
      <c r="L4803" s="122"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1">
        <v>45949</v>
      </c>
      <c r="O4803" s="62">
        <f ca="1" t="shared" si="232"/>
        <v>0</v>
      </c>
      <c r="P4803" s="62">
        <f ca="1" t="shared" si="233"/>
        <v>11</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6" t="s">
        <v>203</v>
      </c>
      <c r="C4804" s="70">
        <v>45952</v>
      </c>
      <c r="D4804" s="120" t="str">
        <f>VLOOKUP(B4804,辅助信息!E:K,7,FALSE)</f>
        <v>JWDDCD2025102100479</v>
      </c>
      <c r="E4804" s="120" t="str">
        <f>VLOOKUP(F4804,辅助信息!A:B,2,FALSE)</f>
        <v>盘螺</v>
      </c>
      <c r="F4804" s="120" t="s">
        <v>41</v>
      </c>
      <c r="G4804" s="121">
        <v>8</v>
      </c>
      <c r="H4804" s="134">
        <f>IF(SUMIFS('[1]2025年已发货'!$E:$E,'[1]2025年已发货'!$F:$F,C4804,'[1]2025年已发货'!$C:$C,F4804,'[1]2025年已发货'!$G:$G,I4804,'[1]2025年已发货'!$H:$H,J4804)=0,"未发货",SUMIFS('[1]2025年已发货'!$E:$E,'[1]2025年已发货'!$F:$F,C4804,'[1]2025年已发货'!$C:$C,F4804,'[1]2025年已发货'!$G:$G,I4804,'[1]2025年已发货'!$H:$H,J4804))</f>
        <v>8</v>
      </c>
      <c r="I4804" s="156" t="str">
        <f>VLOOKUP(B4804,辅助信息!E:I,3,FALSE)</f>
        <v>(五冶建设空港兴城怡心街道83亩项目)成都市双流区怡心街道高峰社区一组剑和路一段空港兴城怡心街道83亩项目中国五冶项目部</v>
      </c>
      <c r="J4804" s="120" t="str">
        <f>VLOOKUP(B4804,辅助信息!E:I,4,FALSE)</f>
        <v>王刚</v>
      </c>
      <c r="K4804" s="120">
        <f>VLOOKUP(J4804,辅助信息!H:I,2,FALSE)</f>
        <v>15881190525</v>
      </c>
      <c r="L4804" s="122"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1">
        <v>45949</v>
      </c>
      <c r="O4804" s="62">
        <f ca="1" t="shared" si="232"/>
        <v>0</v>
      </c>
      <c r="P4804" s="62">
        <f ca="1" t="shared" si="233"/>
        <v>11</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6" t="s">
        <v>203</v>
      </c>
      <c r="C4805" s="70">
        <v>45952</v>
      </c>
      <c r="D4805" s="120" t="str">
        <f>VLOOKUP(B4805,辅助信息!E:K,7,FALSE)</f>
        <v>JWDDCD2025102100479</v>
      </c>
      <c r="E4805" s="120" t="str">
        <f>VLOOKUP(F4805,辅助信息!A:B,2,FALSE)</f>
        <v>螺纹钢</v>
      </c>
      <c r="F4805" s="120" t="s">
        <v>32</v>
      </c>
      <c r="G4805" s="121">
        <v>4</v>
      </c>
      <c r="H4805" s="134">
        <f>IF(SUMIFS('[1]2025年已发货'!$E:$E,'[1]2025年已发货'!$F:$F,C4805,'[1]2025年已发货'!$C:$C,F4805,'[1]2025年已发货'!$G:$G,I4805,'[1]2025年已发货'!$H:$H,J4805)=0,"未发货",SUMIFS('[1]2025年已发货'!$E:$E,'[1]2025年已发货'!$F:$F,C4805,'[1]2025年已发货'!$C:$C,F4805,'[1]2025年已发货'!$G:$G,I4805,'[1]2025年已发货'!$H:$H,J4805))</f>
        <v>4</v>
      </c>
      <c r="I4805" s="156" t="str">
        <f>VLOOKUP(B4805,辅助信息!E:I,3,FALSE)</f>
        <v>(五冶建设空港兴城怡心街道83亩项目)成都市双流区怡心街道高峰社区一组剑和路一段空港兴城怡心街道83亩项目中国五冶项目部</v>
      </c>
      <c r="J4805" s="120" t="str">
        <f>VLOOKUP(B4805,辅助信息!E:I,4,FALSE)</f>
        <v>王刚</v>
      </c>
      <c r="K4805" s="120">
        <f>VLOOKUP(J4805,辅助信息!H:I,2,FALSE)</f>
        <v>15881190525</v>
      </c>
      <c r="L4805" s="122"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1">
        <v>45949</v>
      </c>
      <c r="O4805" s="62">
        <f ca="1" t="shared" si="232"/>
        <v>0</v>
      </c>
      <c r="P4805" s="62">
        <f ca="1" t="shared" si="233"/>
        <v>11</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6" t="s">
        <v>203</v>
      </c>
      <c r="C4806" s="70">
        <v>45952</v>
      </c>
      <c r="D4806" s="120" t="str">
        <f>VLOOKUP(B4806,辅助信息!E:K,7,FALSE)</f>
        <v>JWDDCD2025102100479</v>
      </c>
      <c r="E4806" s="120" t="str">
        <f>VLOOKUP(F4806,辅助信息!A:B,2,FALSE)</f>
        <v>螺纹钢</v>
      </c>
      <c r="F4806" s="120" t="s">
        <v>33</v>
      </c>
      <c r="G4806" s="121">
        <v>10</v>
      </c>
      <c r="H4806" s="134">
        <v>10</v>
      </c>
      <c r="I4806" s="156" t="str">
        <f>VLOOKUP(B4806,辅助信息!E:I,3,FALSE)</f>
        <v>(五冶建设空港兴城怡心街道83亩项目)成都市双流区怡心街道高峰社区一组剑和路一段空港兴城怡心街道83亩项目中国五冶项目部</v>
      </c>
      <c r="J4806" s="120" t="str">
        <f>VLOOKUP(B4806,辅助信息!E:I,4,FALSE)</f>
        <v>王刚</v>
      </c>
      <c r="K4806" s="120">
        <f>VLOOKUP(J4806,辅助信息!H:I,2,FALSE)</f>
        <v>15881190525</v>
      </c>
      <c r="L4806" s="122"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1">
        <v>45949</v>
      </c>
      <c r="O4806" s="62">
        <f ca="1" t="shared" si="232"/>
        <v>0</v>
      </c>
      <c r="P4806" s="62">
        <f ca="1" t="shared" si="233"/>
        <v>11</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6" t="s">
        <v>176</v>
      </c>
      <c r="C4807" s="70">
        <v>45951</v>
      </c>
      <c r="D4807" s="120" t="str">
        <f>VLOOKUP(B4807,辅助信息!E:K,7,FALSE)</f>
        <v>JWDDCD2025062200016</v>
      </c>
      <c r="E4807" s="120" t="str">
        <f>VLOOKUP(F4807,辅助信息!A:B,2,FALSE)</f>
        <v>螺纹钢</v>
      </c>
      <c r="F4807" s="120" t="s">
        <v>19</v>
      </c>
      <c r="G4807" s="121">
        <v>5</v>
      </c>
      <c r="H4807" s="134"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0" t="str">
        <f>VLOOKUP(B4807,辅助信息!E:I,3,FALSE)</f>
        <v>(武汉电气化局成达万高铁强电项目-渠县)四川省达州市渠县渠北镇雷家湾渠县北站旁</v>
      </c>
      <c r="J4807" s="120" t="str">
        <f>VLOOKUP(B4807,辅助信息!E:I,4,FALSE)</f>
        <v>刘频</v>
      </c>
      <c r="K4807" s="120">
        <f>VLOOKUP(J4807,辅助信息!H:I,2,FALSE)</f>
        <v>18779627939</v>
      </c>
      <c r="L4807" s="122" t="str">
        <f>VLOOKUP(B4807,辅助信息!E:J,6,FALSE)</f>
        <v>锈货不收！！下雨天钢筋没盖篷布不收！！，装货前联系收货人核实到场规格,没提前告知进场规格现场不给予接收</v>
      </c>
      <c r="M4807" s="91">
        <v>45946</v>
      </c>
      <c r="O4807" s="62">
        <f ca="1" t="shared" si="232"/>
        <v>0</v>
      </c>
      <c r="P4807" s="62">
        <f ca="1" t="shared" si="233"/>
        <v>14</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6" t="s">
        <v>176</v>
      </c>
      <c r="C4808" s="70">
        <v>45951</v>
      </c>
      <c r="D4808" s="120" t="str">
        <f>VLOOKUP(B4808,辅助信息!E:K,7,FALSE)</f>
        <v>JWDDCD2025062200016</v>
      </c>
      <c r="E4808" s="120" t="str">
        <f>VLOOKUP(F4808,辅助信息!A:B,2,FALSE)</f>
        <v>螺纹钢</v>
      </c>
      <c r="F4808" s="120" t="s">
        <v>76</v>
      </c>
      <c r="G4808" s="121">
        <v>5</v>
      </c>
      <c r="H4808" s="134"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0" t="str">
        <f>VLOOKUP(B4808,辅助信息!E:I,3,FALSE)</f>
        <v>(武汉电气化局成达万高铁强电项目-渠县)四川省达州市渠县渠北镇雷家湾渠县北站旁</v>
      </c>
      <c r="J4808" s="120" t="str">
        <f>VLOOKUP(B4808,辅助信息!E:I,4,FALSE)</f>
        <v>刘频</v>
      </c>
      <c r="K4808" s="120">
        <f>VLOOKUP(J4808,辅助信息!H:I,2,FALSE)</f>
        <v>18779627939</v>
      </c>
      <c r="L4808" s="122" t="str">
        <f>VLOOKUP(B4808,辅助信息!E:J,6,FALSE)</f>
        <v>锈货不收！！下雨天钢筋没盖篷布不收！！，装货前联系收货人核实到场规格,没提前告知进场规格现场不给予接收</v>
      </c>
      <c r="M4808" s="91">
        <v>45946</v>
      </c>
      <c r="O4808" s="62">
        <f ca="1" t="shared" si="232"/>
        <v>0</v>
      </c>
      <c r="P4808" s="62">
        <f ca="1" t="shared" si="233"/>
        <v>14</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6" t="s">
        <v>176</v>
      </c>
      <c r="C4809" s="70">
        <v>45951</v>
      </c>
      <c r="D4809" s="120" t="str">
        <f>VLOOKUP(B4809,辅助信息!E:K,7,FALSE)</f>
        <v>JWDDCD2025062200016</v>
      </c>
      <c r="E4809" s="120" t="str">
        <f>VLOOKUP(F4809,辅助信息!A:B,2,FALSE)</f>
        <v>螺纹钢</v>
      </c>
      <c r="F4809" s="120" t="s">
        <v>130</v>
      </c>
      <c r="G4809" s="121">
        <v>15</v>
      </c>
      <c r="H4809" s="134"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0" t="str">
        <f>VLOOKUP(B4809,辅助信息!E:I,3,FALSE)</f>
        <v>(武汉电气化局成达万高铁强电项目-渠县)四川省达州市渠县渠北镇雷家湾渠县北站旁</v>
      </c>
      <c r="J4809" s="120" t="str">
        <f>VLOOKUP(B4809,辅助信息!E:I,4,FALSE)</f>
        <v>刘频</v>
      </c>
      <c r="K4809" s="120">
        <f>VLOOKUP(J4809,辅助信息!H:I,2,FALSE)</f>
        <v>18779627939</v>
      </c>
      <c r="L4809" s="122" t="str">
        <f>VLOOKUP(B4809,辅助信息!E:J,6,FALSE)</f>
        <v>锈货不收！！下雨天钢筋没盖篷布不收！！，装货前联系收货人核实到场规格,没提前告知进场规格现场不给予接收</v>
      </c>
      <c r="M4809" s="91">
        <v>45946</v>
      </c>
      <c r="O4809" s="62">
        <f ca="1" t="shared" si="232"/>
        <v>0</v>
      </c>
      <c r="P4809" s="62">
        <f ca="1" t="shared" si="233"/>
        <v>14</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6" t="s">
        <v>176</v>
      </c>
      <c r="C4810" s="70">
        <v>45951</v>
      </c>
      <c r="D4810" s="120" t="str">
        <f>VLOOKUP(B4810,辅助信息!E:K,7,FALSE)</f>
        <v>JWDDCD2025062200016</v>
      </c>
      <c r="E4810" s="120" t="str">
        <f>VLOOKUP(F4810,辅助信息!A:B,2,FALSE)</f>
        <v>螺纹钢</v>
      </c>
      <c r="F4810" s="120" t="s">
        <v>91</v>
      </c>
      <c r="G4810" s="121">
        <v>9</v>
      </c>
      <c r="H4810" s="134"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0" t="str">
        <f>VLOOKUP(B4810,辅助信息!E:I,3,FALSE)</f>
        <v>(武汉电气化局成达万高铁强电项目-渠县)四川省达州市渠县渠北镇雷家湾渠县北站旁</v>
      </c>
      <c r="J4810" s="120" t="str">
        <f>VLOOKUP(B4810,辅助信息!E:I,4,FALSE)</f>
        <v>刘频</v>
      </c>
      <c r="K4810" s="120">
        <f>VLOOKUP(J4810,辅助信息!H:I,2,FALSE)</f>
        <v>18779627939</v>
      </c>
      <c r="L4810" s="122" t="str">
        <f>VLOOKUP(B4810,辅助信息!E:J,6,FALSE)</f>
        <v>锈货不收！！下雨天钢筋没盖篷布不收！！，装货前联系收货人核实到场规格,没提前告知进场规格现场不给予接收</v>
      </c>
      <c r="M4810" s="91">
        <v>45946</v>
      </c>
      <c r="O4810" s="62">
        <f ca="1" t="shared" si="232"/>
        <v>0</v>
      </c>
      <c r="P4810" s="62">
        <f ca="1" t="shared" si="233"/>
        <v>14</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6" t="s">
        <v>226</v>
      </c>
      <c r="C4811" s="70">
        <v>45952</v>
      </c>
      <c r="D4811" s="120" t="str">
        <f>VLOOKUP(B4811,辅助信息!E:K,7,FALSE)</f>
        <v>JWDDCD2025092400211</v>
      </c>
      <c r="E4811" s="120" t="str">
        <f>VLOOKUP(F4811,辅助信息!A:B,2,FALSE)</f>
        <v>盘螺</v>
      </c>
      <c r="F4811" s="120" t="s">
        <v>40</v>
      </c>
      <c r="G4811" s="121">
        <v>35</v>
      </c>
      <c r="H4811" s="134">
        <f>IF(SUMIFS('[1]2025年已发货'!$E:$E,'[1]2025年已发货'!$F:$F,C4815,'[1]2025年已发货'!$C:$C,F4811,'[1]2025年已发货'!$G:$G,I4811,'[1]2025年已发货'!$H:$H,J4811)=0,"未发货",SUMIFS('[1]2025年已发货'!$E:$E,'[1]2025年已发货'!$F:$F,C4815,'[1]2025年已发货'!$C:$C,F4811,'[1]2025年已发货'!$G:$G,I4811,'[1]2025年已发货'!$H:$H,J4811))</f>
        <v>35</v>
      </c>
      <c r="I4811" s="156" t="str">
        <f>VLOOKUP(B4811,辅助信息!E:I,3,FALSE)</f>
        <v>(五冶钢构龙泉东洪片区85亩住宅、商业及配套工程项目二标段)成都市龙泉驿外东洪路地铁2号线惠王陵地铁C口</v>
      </c>
      <c r="J4811" s="120" t="str">
        <f>VLOOKUP(B4811,辅助信息!E:I,4,FALSE)</f>
        <v>李渊</v>
      </c>
      <c r="K4811" s="120">
        <f>VLOOKUP(J4811,辅助信息!H:I,2,FALSE)</f>
        <v>18381013849</v>
      </c>
      <c r="L4811" s="122">
        <f>VLOOKUP(B4811,辅助信息!E:J,6,FALSE)</f>
        <v>0</v>
      </c>
      <c r="M4811" s="91">
        <v>45949</v>
      </c>
      <c r="O4811" s="62">
        <f ca="1" t="shared" si="232"/>
        <v>0</v>
      </c>
      <c r="P4811" s="62">
        <f ca="1" t="shared" si="233"/>
        <v>11</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6" t="s">
        <v>226</v>
      </c>
      <c r="C4812" s="70">
        <v>45952</v>
      </c>
      <c r="D4812" s="120" t="str">
        <f>VLOOKUP(B4812,辅助信息!E:K,7,FALSE)</f>
        <v>JWDDCD2025092400211</v>
      </c>
      <c r="E4812" s="120" t="str">
        <f>VLOOKUP(F4812,辅助信息!A:B,2,FALSE)</f>
        <v>螺纹钢</v>
      </c>
      <c r="F4812" s="120" t="s">
        <v>27</v>
      </c>
      <c r="G4812" s="121">
        <v>35</v>
      </c>
      <c r="H4812" s="134">
        <f>IF(SUMIFS('[1]2025年已发货'!$E:$E,'[1]2025年已发货'!$F:$F,C4816,'[1]2025年已发货'!$C:$C,F4812,'[1]2025年已发货'!$G:$G,I4812,'[1]2025年已发货'!$H:$H,J4812)=0,"未发货",SUMIFS('[1]2025年已发货'!$E:$E,'[1]2025年已发货'!$F:$F,C4816,'[1]2025年已发货'!$C:$C,F4812,'[1]2025年已发货'!$G:$G,I4812,'[1]2025年已发货'!$H:$H,J4812))</f>
        <v>35</v>
      </c>
      <c r="I4812" s="156" t="str">
        <f>VLOOKUP(B4812,辅助信息!E:I,3,FALSE)</f>
        <v>(五冶钢构龙泉东洪片区85亩住宅、商业及配套工程项目二标段)成都市龙泉驿外东洪路地铁2号线惠王陵地铁C口</v>
      </c>
      <c r="J4812" s="120" t="str">
        <f>VLOOKUP(B4812,辅助信息!E:I,4,FALSE)</f>
        <v>李渊</v>
      </c>
      <c r="K4812" s="120">
        <f>VLOOKUP(J4812,辅助信息!H:I,2,FALSE)</f>
        <v>18381013849</v>
      </c>
      <c r="L4812" s="122">
        <f>VLOOKUP(B4812,辅助信息!E:J,6,FALSE)</f>
        <v>0</v>
      </c>
      <c r="M4812" s="91">
        <v>45949</v>
      </c>
      <c r="O4812" s="62">
        <f ca="1" t="shared" si="232"/>
        <v>0</v>
      </c>
      <c r="P4812" s="62">
        <f ca="1" t="shared" si="233"/>
        <v>11</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6" t="s">
        <v>226</v>
      </c>
      <c r="C4813" s="70">
        <v>45952</v>
      </c>
      <c r="D4813" s="120" t="str">
        <f>VLOOKUP(B4813,辅助信息!E:K,7,FALSE)</f>
        <v>JWDDCD2025092400211</v>
      </c>
      <c r="E4813" s="120" t="str">
        <f>VLOOKUP(F4813,辅助信息!A:B,2,FALSE)</f>
        <v>螺纹钢</v>
      </c>
      <c r="F4813" s="120" t="s">
        <v>32</v>
      </c>
      <c r="G4813" s="121">
        <v>20</v>
      </c>
      <c r="H4813" s="134">
        <f>IF(SUMIFS('[1]2025年已发货'!$E:$E,'[1]2025年已发货'!$F:$F,C4817,'[1]2025年已发货'!$C:$C,F4813,'[1]2025年已发货'!$G:$G,I4813,'[1]2025年已发货'!$H:$H,J4813)=0,"未发货",SUMIFS('[1]2025年已发货'!$E:$E,'[1]2025年已发货'!$F:$F,C4817,'[1]2025年已发货'!$C:$C,F4813,'[1]2025年已发货'!$G:$G,I4813,'[1]2025年已发货'!$H:$H,J4813))</f>
        <v>20</v>
      </c>
      <c r="I4813" s="156" t="str">
        <f>VLOOKUP(B4813,辅助信息!E:I,3,FALSE)</f>
        <v>(五冶钢构龙泉东洪片区85亩住宅、商业及配套工程项目二标段)成都市龙泉驿外东洪路地铁2号线惠王陵地铁C口</v>
      </c>
      <c r="J4813" s="120" t="str">
        <f>VLOOKUP(B4813,辅助信息!E:I,4,FALSE)</f>
        <v>李渊</v>
      </c>
      <c r="K4813" s="120">
        <f>VLOOKUP(J4813,辅助信息!H:I,2,FALSE)</f>
        <v>18381013849</v>
      </c>
      <c r="L4813" s="122">
        <f>VLOOKUP(B4813,辅助信息!E:J,6,FALSE)</f>
        <v>0</v>
      </c>
      <c r="M4813" s="91">
        <v>45949</v>
      </c>
      <c r="O4813" s="62">
        <f ca="1" t="shared" si="232"/>
        <v>0</v>
      </c>
      <c r="P4813" s="62">
        <f ca="1" t="shared" si="233"/>
        <v>11</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6" t="s">
        <v>226</v>
      </c>
      <c r="C4814" s="70">
        <v>45952</v>
      </c>
      <c r="D4814" s="120" t="str">
        <f>VLOOKUP(B4814,辅助信息!E:K,7,FALSE)</f>
        <v>JWDDCD2025092400211</v>
      </c>
      <c r="E4814" s="120" t="str">
        <f>VLOOKUP(F4814,辅助信息!A:B,2,FALSE)</f>
        <v>螺纹钢</v>
      </c>
      <c r="F4814" s="120" t="s">
        <v>30</v>
      </c>
      <c r="G4814" s="121">
        <v>15</v>
      </c>
      <c r="H4814" s="134">
        <f>IF(SUMIFS('[1]2025年已发货'!$E:$E,'[1]2025年已发货'!$F:$F,C4818,'[1]2025年已发货'!$C:$C,F4814,'[1]2025年已发货'!$G:$G,I4814,'[1]2025年已发货'!$H:$H,J4814)=0,"未发货",SUMIFS('[1]2025年已发货'!$E:$E,'[1]2025年已发货'!$F:$F,C4818,'[1]2025年已发货'!$C:$C,F4814,'[1]2025年已发货'!$G:$G,I4814,'[1]2025年已发货'!$H:$H,J4814))</f>
        <v>15</v>
      </c>
      <c r="I4814" s="156" t="str">
        <f>VLOOKUP(B4814,辅助信息!E:I,3,FALSE)</f>
        <v>(五冶钢构龙泉东洪片区85亩住宅、商业及配套工程项目二标段)成都市龙泉驿外东洪路地铁2号线惠王陵地铁C口</v>
      </c>
      <c r="J4814" s="120" t="str">
        <f>VLOOKUP(B4814,辅助信息!E:I,4,FALSE)</f>
        <v>李渊</v>
      </c>
      <c r="K4814" s="120">
        <f>VLOOKUP(J4814,辅助信息!H:I,2,FALSE)</f>
        <v>18381013849</v>
      </c>
      <c r="L4814" s="122">
        <f>VLOOKUP(B4814,辅助信息!E:J,6,FALSE)</f>
        <v>0</v>
      </c>
      <c r="M4814" s="91">
        <v>45949</v>
      </c>
      <c r="O4814" s="62">
        <f ca="1" t="shared" si="232"/>
        <v>0</v>
      </c>
      <c r="P4814" s="62">
        <f ca="1" t="shared" si="233"/>
        <v>11</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6" t="s">
        <v>215</v>
      </c>
      <c r="C4815" s="70">
        <v>45952</v>
      </c>
      <c r="D4815" s="120" t="str">
        <f>VLOOKUP(B4815,辅助信息!E:K,7,FALSE)</f>
        <v>JWDDCD2025102100486</v>
      </c>
      <c r="E4815" s="120" t="str">
        <f>VLOOKUP(F4815,辅助信息!A:B,2,FALSE)</f>
        <v>盘螺</v>
      </c>
      <c r="F4815" s="120" t="s">
        <v>49</v>
      </c>
      <c r="G4815" s="121">
        <v>2</v>
      </c>
      <c r="H4815" s="134">
        <f>IF(SUMIFS('[1]2025年已发货'!$E:$E,'[1]2025年已发货'!$F:$F,C4819,'[1]2025年已发货'!$C:$C,F4815,'[1]2025年已发货'!$G:$G,I4815,'[1]2025年已发货'!$H:$H,J4815)=0,"未发货",SUMIFS('[1]2025年已发货'!$E:$E,'[1]2025年已发货'!$F:$F,C4819,'[1]2025年已发货'!$C:$C,F4815,'[1]2025年已发货'!$G:$G,I4815,'[1]2025年已发货'!$H:$H,J4815))</f>
        <v>2</v>
      </c>
      <c r="I4815" s="156" t="str">
        <f>VLOOKUP(B4815,辅助信息!E:I,3,FALSE)</f>
        <v>(五冶建设龙泉驿一医院配套建设工程)成都市龙泉驿区董朗路69号龙泉驿一医院5号门</v>
      </c>
      <c r="J4815" s="120" t="str">
        <f>VLOOKUP(B4815,辅助信息!E:I,4,FALSE)</f>
        <v>孙敏</v>
      </c>
      <c r="K4815" s="120">
        <f>VLOOKUP(J4815,辅助信息!H:I,2,FALSE)</f>
        <v>13617695006</v>
      </c>
      <c r="L4815" s="122" t="str">
        <f>VLOOKUP(B4815,辅助信息!E:J,6,FALSE)</f>
        <v>联系实际收货人（孙敏13617695006）五冶建设送货单,6份材质书,锈货不收，装货前联系收货人核实到场规格,没提前告知进场规格现场不给予接收</v>
      </c>
      <c r="M4815" s="91">
        <v>45946</v>
      </c>
      <c r="O4815" s="62">
        <f ca="1" t="shared" si="232"/>
        <v>0</v>
      </c>
      <c r="P4815" s="62">
        <f ca="1" t="shared" si="233"/>
        <v>14</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6" t="s">
        <v>215</v>
      </c>
      <c r="C4816" s="70">
        <v>45952</v>
      </c>
      <c r="D4816" s="120" t="str">
        <f>VLOOKUP(B4816,辅助信息!E:K,7,FALSE)</f>
        <v>JWDDCD2025102100486</v>
      </c>
      <c r="E4816" s="120" t="str">
        <f>VLOOKUP(F4816,辅助信息!A:B,2,FALSE)</f>
        <v>盘螺</v>
      </c>
      <c r="F4816" s="120" t="s">
        <v>40</v>
      </c>
      <c r="G4816" s="121">
        <v>16</v>
      </c>
      <c r="H4816" s="134">
        <f>IF(SUMIFS('[1]2025年已发货'!$E:$E,'[1]2025年已发货'!$F:$F,C4820,'[1]2025年已发货'!$C:$C,F4816,'[1]2025年已发货'!$G:$G,I4816,'[1]2025年已发货'!$H:$H,J4816)=0,"未发货",SUMIFS('[1]2025年已发货'!$E:$E,'[1]2025年已发货'!$F:$F,C4820,'[1]2025年已发货'!$C:$C,F4816,'[1]2025年已发货'!$G:$G,I4816,'[1]2025年已发货'!$H:$H,J4816))</f>
        <v>16</v>
      </c>
      <c r="I4816" s="156" t="str">
        <f>VLOOKUP(B4816,辅助信息!E:I,3,FALSE)</f>
        <v>(五冶建设龙泉驿一医院配套建设工程)成都市龙泉驿区董朗路69号龙泉驿一医院5号门</v>
      </c>
      <c r="J4816" s="120" t="str">
        <f>VLOOKUP(B4816,辅助信息!E:I,4,FALSE)</f>
        <v>孙敏</v>
      </c>
      <c r="K4816" s="120">
        <f>VLOOKUP(J4816,辅助信息!H:I,2,FALSE)</f>
        <v>13617695006</v>
      </c>
      <c r="L4816" s="122" t="str">
        <f>VLOOKUP(B4816,辅助信息!E:J,6,FALSE)</f>
        <v>联系实际收货人（孙敏13617695006）五冶建设送货单,6份材质书,锈货不收，装货前联系收货人核实到场规格,没提前告知进场规格现场不给予接收</v>
      </c>
      <c r="M4816" s="91">
        <v>45946</v>
      </c>
      <c r="O4816" s="62">
        <f ca="1" t="shared" si="232"/>
        <v>0</v>
      </c>
      <c r="P4816" s="62">
        <f ca="1" t="shared" si="233"/>
        <v>14</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6" t="s">
        <v>215</v>
      </c>
      <c r="C4817" s="70">
        <v>45952</v>
      </c>
      <c r="D4817" s="120" t="str">
        <f>VLOOKUP(B4817,辅助信息!E:K,7,FALSE)</f>
        <v>JWDDCD2025102100486</v>
      </c>
      <c r="E4817" s="120" t="str">
        <f>VLOOKUP(F4817,辅助信息!A:B,2,FALSE)</f>
        <v>盘螺</v>
      </c>
      <c r="F4817" s="120" t="s">
        <v>41</v>
      </c>
      <c r="G4817" s="121">
        <f>38-12.5</f>
        <v>25.5</v>
      </c>
      <c r="H4817" s="134">
        <f>IF(SUMIFS('[1]2025年已发货'!$E:$E,'[1]2025年已发货'!$F:$F,C4821,'[1]2025年已发货'!$C:$C,F4817,'[1]2025年已发货'!$G:$G,I4817,'[1]2025年已发货'!$H:$H,J4817)=0,"未发货",SUMIFS('[1]2025年已发货'!$E:$E,'[1]2025年已发货'!$F:$F,C4821,'[1]2025年已发货'!$C:$C,F4817,'[1]2025年已发货'!$G:$G,I4817,'[1]2025年已发货'!$H:$H,J4817))</f>
        <v>25.5</v>
      </c>
      <c r="I4817" s="156" t="str">
        <f>VLOOKUP(B4817,辅助信息!E:I,3,FALSE)</f>
        <v>(五冶建设龙泉驿一医院配套建设工程)成都市龙泉驿区董朗路69号龙泉驿一医院5号门</v>
      </c>
      <c r="J4817" s="120" t="str">
        <f>VLOOKUP(B4817,辅助信息!E:I,4,FALSE)</f>
        <v>孙敏</v>
      </c>
      <c r="K4817" s="120">
        <f>VLOOKUP(J4817,辅助信息!H:I,2,FALSE)</f>
        <v>13617695006</v>
      </c>
      <c r="L4817" s="122" t="str">
        <f>VLOOKUP(B4817,辅助信息!E:J,6,FALSE)</f>
        <v>联系实际收货人（孙敏13617695006）五冶建设送货单,6份材质书,锈货不收，装货前联系收货人核实到场规格,没提前告知进场规格现场不给予接收</v>
      </c>
      <c r="M4817" s="91">
        <v>45946</v>
      </c>
      <c r="O4817" s="62">
        <f ca="1" t="shared" si="232"/>
        <v>0</v>
      </c>
      <c r="P4817" s="62">
        <f ca="1" t="shared" si="233"/>
        <v>14</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6" t="s">
        <v>215</v>
      </c>
      <c r="C4818" s="70">
        <v>45952</v>
      </c>
      <c r="D4818" s="120" t="str">
        <f>VLOOKUP(B4818,辅助信息!E:K,7,FALSE)</f>
        <v>JWDDCD2025102100486</v>
      </c>
      <c r="E4818" s="120" t="str">
        <f>VLOOKUP(F4818,辅助信息!A:B,2,FALSE)</f>
        <v>盘螺</v>
      </c>
      <c r="F4818" s="120" t="s">
        <v>26</v>
      </c>
      <c r="G4818" s="121">
        <v>30</v>
      </c>
      <c r="H4818" s="134">
        <v>30</v>
      </c>
      <c r="I4818" s="156" t="str">
        <f>VLOOKUP(B4818,辅助信息!E:I,3,FALSE)</f>
        <v>(五冶建设龙泉驿一医院配套建设工程)成都市龙泉驿区董朗路69号龙泉驿一医院5号门</v>
      </c>
      <c r="J4818" s="120" t="str">
        <f>VLOOKUP(B4818,辅助信息!E:I,4,FALSE)</f>
        <v>孙敏</v>
      </c>
      <c r="K4818" s="120">
        <f>VLOOKUP(J4818,辅助信息!H:I,2,FALSE)</f>
        <v>13617695006</v>
      </c>
      <c r="L4818" s="122" t="str">
        <f>VLOOKUP(B4818,辅助信息!E:J,6,FALSE)</f>
        <v>联系实际收货人（孙敏13617695006）五冶建设送货单,6份材质书,锈货不收，装货前联系收货人核实到场规格,没提前告知进场规格现场不给予接收</v>
      </c>
      <c r="M4818" s="91">
        <v>45946</v>
      </c>
      <c r="O4818" s="62">
        <f ca="1" t="shared" si="232"/>
        <v>0</v>
      </c>
      <c r="P4818" s="62">
        <f ca="1" t="shared" si="233"/>
        <v>14</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6" t="s">
        <v>231</v>
      </c>
      <c r="C4819" s="70">
        <v>45952</v>
      </c>
      <c r="D4819" s="120" t="str">
        <f>VLOOKUP(B4819,辅助信息!E:K,7,FALSE)</f>
        <v>JWDDCD2025102100481</v>
      </c>
      <c r="E4819" s="120" t="str">
        <f>VLOOKUP(F4819,辅助信息!A:B,2,FALSE)</f>
        <v>盘螺</v>
      </c>
      <c r="F4819" s="120" t="s">
        <v>41</v>
      </c>
      <c r="G4819" s="121">
        <v>22</v>
      </c>
      <c r="H4819" s="134">
        <v>22</v>
      </c>
      <c r="I4819" s="156" t="str">
        <f>VLOOKUP(B4819,辅助信息!E:I,3,FALSE)</f>
        <v>(五冶建设成都盐道街中学初中部改扩建工程-一标)四川省成都市锦江区春熙路街道盐道街4号（盐道街中学初中部）</v>
      </c>
      <c r="J4819" s="120" t="str">
        <f>VLOOKUP(B4819,辅助信息!E:I,4,FALSE)</f>
        <v>谢鑫</v>
      </c>
      <c r="K4819" s="120">
        <f>VLOOKUP(J4819,辅助信息!H:I,2,FALSE)</f>
        <v>18228465067</v>
      </c>
      <c r="L4819" s="122" t="str">
        <f>VLOOKUP(B4819,辅助信息!E:J,6,FALSE)</f>
        <v>联系实际收货人（易前刚18228465067）五冶建设送货单,6份材质书,锈货不收，装货前联系收货人核实到场规格,没提前告知进场规格现场不给予接收</v>
      </c>
      <c r="M4819" s="91">
        <v>45950</v>
      </c>
      <c r="O4819" s="62">
        <f ca="1" t="shared" si="232"/>
        <v>0</v>
      </c>
      <c r="P4819" s="62">
        <f ca="1" t="shared" si="233"/>
        <v>10</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6" t="s">
        <v>231</v>
      </c>
      <c r="C4820" s="70">
        <v>45952</v>
      </c>
      <c r="D4820" s="120" t="str">
        <f>VLOOKUP(B4820,辅助信息!E:K,7,FALSE)</f>
        <v>JWDDCD2025102100481</v>
      </c>
      <c r="E4820" s="120" t="str">
        <f>VLOOKUP(F4820,辅助信息!A:B,2,FALSE)</f>
        <v>盘螺</v>
      </c>
      <c r="F4820" s="120" t="s">
        <v>26</v>
      </c>
      <c r="G4820" s="121">
        <v>10</v>
      </c>
      <c r="H4820" s="134">
        <v>10</v>
      </c>
      <c r="I4820" s="156" t="str">
        <f>VLOOKUP(B4820,辅助信息!E:I,3,FALSE)</f>
        <v>(五冶建设成都盐道街中学初中部改扩建工程-一标)四川省成都市锦江区春熙路街道盐道街4号（盐道街中学初中部）</v>
      </c>
      <c r="J4820" s="120" t="str">
        <f>VLOOKUP(B4820,辅助信息!E:I,4,FALSE)</f>
        <v>谢鑫</v>
      </c>
      <c r="K4820" s="120">
        <f>VLOOKUP(J4820,辅助信息!H:I,2,FALSE)</f>
        <v>18228465067</v>
      </c>
      <c r="L4820" s="122" t="str">
        <f>VLOOKUP(B4820,辅助信息!E:J,6,FALSE)</f>
        <v>联系实际收货人（易前刚18228465067）五冶建设送货单,6份材质书,锈货不收，装货前联系收货人核实到场规格,没提前告知进场规格现场不给予接收</v>
      </c>
      <c r="M4820" s="91">
        <v>45950</v>
      </c>
      <c r="O4820" s="62">
        <f ca="1" t="shared" si="232"/>
        <v>0</v>
      </c>
      <c r="P4820" s="62">
        <f ca="1" t="shared" si="233"/>
        <v>10</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6" t="s">
        <v>231</v>
      </c>
      <c r="C4821" s="70">
        <v>45952</v>
      </c>
      <c r="D4821" s="120" t="str">
        <f>VLOOKUP(B4821,辅助信息!E:K,7,FALSE)</f>
        <v>JWDDCD2025102100481</v>
      </c>
      <c r="E4821" s="120" t="str">
        <f>VLOOKUP(F4821,辅助信息!A:B,2,FALSE)</f>
        <v>螺纹钢</v>
      </c>
      <c r="F4821" s="120" t="s">
        <v>32</v>
      </c>
      <c r="G4821" s="121">
        <v>2.5</v>
      </c>
      <c r="H4821" s="134">
        <v>2.5</v>
      </c>
      <c r="I4821" s="156" t="str">
        <f>VLOOKUP(B4821,辅助信息!E:I,3,FALSE)</f>
        <v>(五冶建设成都盐道街中学初中部改扩建工程-一标)四川省成都市锦江区春熙路街道盐道街4号（盐道街中学初中部）</v>
      </c>
      <c r="J4821" s="120" t="str">
        <f>VLOOKUP(B4821,辅助信息!E:I,4,FALSE)</f>
        <v>谢鑫</v>
      </c>
      <c r="K4821" s="120">
        <f>VLOOKUP(J4821,辅助信息!H:I,2,FALSE)</f>
        <v>18228465067</v>
      </c>
      <c r="L4821" s="122" t="str">
        <f>VLOOKUP(B4821,辅助信息!E:J,6,FALSE)</f>
        <v>联系实际收货人（易前刚18228465067）五冶建设送货单,6份材质书,锈货不收，装货前联系收货人核实到场规格,没提前告知进场规格现场不给予接收</v>
      </c>
      <c r="M4821" s="91">
        <v>45950</v>
      </c>
      <c r="O4821" s="62">
        <f ca="1" t="shared" si="232"/>
        <v>0</v>
      </c>
      <c r="P4821" s="62">
        <f ca="1" t="shared" si="233"/>
        <v>10</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6" t="s">
        <v>194</v>
      </c>
      <c r="C4822" s="70">
        <v>45951</v>
      </c>
      <c r="D4822" s="120" t="str">
        <f>VLOOKUP(B4822,辅助信息!E:K,7,FALSE)</f>
        <v>JWDD2025071500089</v>
      </c>
      <c r="E4822" s="120" t="str">
        <f>VLOOKUP(F4822,辅助信息!A:B,2,FALSE)</f>
        <v>螺纹钢</v>
      </c>
      <c r="F4822" s="120" t="s">
        <v>27</v>
      </c>
      <c r="G4822" s="121">
        <v>10</v>
      </c>
      <c r="H4822" s="134">
        <f>IF(SUMIFS('[1]2025年已发货'!$E:$E,'[1]2025年已发货'!$F:$F,C4826,'[1]2025年已发货'!$C:$C,F4822,'[1]2025年已发货'!$G:$G,I4822,'[1]2025年已发货'!$H:$H,J4822)=0,"未发货",SUMIFS('[1]2025年已发货'!$E:$E,'[1]2025年已发货'!$F:$F,C4826,'[1]2025年已发货'!$C:$C,F4822,'[1]2025年已发货'!$G:$G,I4822,'[1]2025年已发货'!$H:$H,J4822))</f>
        <v>10</v>
      </c>
      <c r="I4822" s="120" t="str">
        <f>VLOOKUP(B4822,辅助信息!E:I,3,FALSE)</f>
        <v>(宜宾兴港三江新区长江工业园保障性租赁住房建设项目-土建)四川省宜宾市翠屏区永善路南段宜宾市三江新区长江工业园区</v>
      </c>
      <c r="J4822" s="120" t="str">
        <f>VLOOKUP(B4822,辅助信息!E:I,4,FALSE)</f>
        <v>赵元虎</v>
      </c>
      <c r="K4822" s="120">
        <f>VLOOKUP(J4822,辅助信息!H:I,2,FALSE)</f>
        <v>13684167136</v>
      </c>
      <c r="L4822" s="122" t="str">
        <f>VLOOKUP(B4822,辅助信息!E:J,6,FALSE)</f>
        <v>现场要求调度统一联系指定收货人，不单独发司机位置。锈货不收，装货前联系收货人核实到场规格,没提前告知进场规格现场不给予接收</v>
      </c>
      <c r="M4822" s="91">
        <v>45950</v>
      </c>
      <c r="O4822" s="62">
        <f ca="1" t="shared" si="232"/>
        <v>0</v>
      </c>
      <c r="P4822" s="62">
        <f ca="1" t="shared" si="233"/>
        <v>10</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6" t="s">
        <v>194</v>
      </c>
      <c r="C4823" s="70">
        <v>45951</v>
      </c>
      <c r="D4823" s="120" t="str">
        <f>VLOOKUP(B4823,辅助信息!E:K,7,FALSE)</f>
        <v>JWDD2025071500089</v>
      </c>
      <c r="E4823" s="120" t="str">
        <f>VLOOKUP(F4823,辅助信息!A:B,2,FALSE)</f>
        <v>螺纹钢</v>
      </c>
      <c r="F4823" s="120" t="s">
        <v>30</v>
      </c>
      <c r="G4823" s="121">
        <v>25</v>
      </c>
      <c r="H4823" s="134"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0" t="str">
        <f>VLOOKUP(B4823,辅助信息!E:I,3,FALSE)</f>
        <v>(宜宾兴港三江新区长江工业园保障性租赁住房建设项目-土建)四川省宜宾市翠屏区永善路南段宜宾市三江新区长江工业园区</v>
      </c>
      <c r="J4823" s="120" t="str">
        <f>VLOOKUP(B4823,辅助信息!E:I,4,FALSE)</f>
        <v>赵元虎</v>
      </c>
      <c r="K4823" s="120">
        <f>VLOOKUP(J4823,辅助信息!H:I,2,FALSE)</f>
        <v>13684167136</v>
      </c>
      <c r="L4823" s="122" t="str">
        <f>VLOOKUP(B4823,辅助信息!E:J,6,FALSE)</f>
        <v>现场要求调度统一联系指定收货人，不单独发司机位置。锈货不收，装货前联系收货人核实到场规格,没提前告知进场规格现场不给予接收</v>
      </c>
      <c r="M4823" s="91">
        <v>45950</v>
      </c>
      <c r="O4823" s="62">
        <f ca="1" t="shared" si="232"/>
        <v>0</v>
      </c>
      <c r="P4823" s="62">
        <f ca="1" t="shared" si="233"/>
        <v>10</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6" t="s">
        <v>187</v>
      </c>
      <c r="C4824" s="70">
        <v>45951</v>
      </c>
      <c r="D4824" s="120" t="str">
        <f>VLOOKUP(B4824,辅助信息!E:K,7,FALSE)</f>
        <v>JWDDCD2025072900121</v>
      </c>
      <c r="E4824" s="120" t="str">
        <f>VLOOKUP(F4824,辅助信息!A:B,2,FALSE)</f>
        <v>螺纹钢</v>
      </c>
      <c r="F4824" s="120" t="s">
        <v>82</v>
      </c>
      <c r="G4824" s="121">
        <v>10</v>
      </c>
      <c r="H4824" s="134"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0" t="str">
        <f>VLOOKUP(B4824,辅助信息!E:I,3,FALSE)</f>
        <v>(乐山市校地共建产教融合基地建设项目一标段)四川省乐山市市中区苏稽镇周山嘴</v>
      </c>
      <c r="J4824" s="120" t="str">
        <f>VLOOKUP(B4824,辅助信息!E:I,4,FALSE)</f>
        <v>范增云</v>
      </c>
      <c r="K4824" s="120">
        <f>VLOOKUP(J4824,辅助信息!H:I,2,FALSE)</f>
        <v>13668153241</v>
      </c>
      <c r="L4824" s="122" t="str">
        <f>VLOOKUP(B4824,辅助信息!E:J,6,FALSE)</f>
        <v>联系实际收货人（范增云13668153241）现场要求炉批号控制2个以下，超2个不给予签收。提前联系到场规格及数量</v>
      </c>
      <c r="M4824" s="91">
        <v>45950</v>
      </c>
      <c r="O4824" s="62">
        <f ca="1" t="shared" si="232"/>
        <v>0</v>
      </c>
      <c r="P4824" s="62">
        <f ca="1" t="shared" si="233"/>
        <v>10</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6" t="s">
        <v>187</v>
      </c>
      <c r="C4825" s="70">
        <v>45951</v>
      </c>
      <c r="D4825" s="120" t="str">
        <f>VLOOKUP(B4825,辅助信息!E:K,7,FALSE)</f>
        <v>JWDDCD2025072900121</v>
      </c>
      <c r="E4825" s="120" t="str">
        <f>VLOOKUP(F4825,辅助信息!A:B,2,FALSE)</f>
        <v>螺纹钢</v>
      </c>
      <c r="F4825" s="120" t="s">
        <v>22</v>
      </c>
      <c r="G4825" s="121">
        <v>15</v>
      </c>
      <c r="H4825" s="134"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0" t="str">
        <f>VLOOKUP(B4825,辅助信息!E:I,3,FALSE)</f>
        <v>(乐山市校地共建产教融合基地建设项目一标段)四川省乐山市市中区苏稽镇周山嘴</v>
      </c>
      <c r="J4825" s="120" t="str">
        <f>VLOOKUP(B4825,辅助信息!E:I,4,FALSE)</f>
        <v>范增云</v>
      </c>
      <c r="K4825" s="120">
        <f>VLOOKUP(J4825,辅助信息!H:I,2,FALSE)</f>
        <v>13668153241</v>
      </c>
      <c r="L4825" s="122" t="str">
        <f>VLOOKUP(B4825,辅助信息!E:J,6,FALSE)</f>
        <v>联系实际收货人（范增云13668153241）现场要求炉批号控制2个以下，超2个不给予签收。提前联系到场规格及数量</v>
      </c>
      <c r="M4825" s="91">
        <v>45950</v>
      </c>
      <c r="O4825" s="62">
        <f ca="1" t="shared" si="232"/>
        <v>0</v>
      </c>
      <c r="P4825" s="62">
        <f ca="1" t="shared" si="233"/>
        <v>10</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6" t="s">
        <v>187</v>
      </c>
      <c r="C4826" s="70">
        <v>45951</v>
      </c>
      <c r="D4826" s="120" t="str">
        <f>VLOOKUP(B4826,辅助信息!E:K,7,FALSE)</f>
        <v>JWDDCD2025072900121</v>
      </c>
      <c r="E4826" s="120" t="str">
        <f>VLOOKUP(F4826,辅助信息!A:B,2,FALSE)</f>
        <v>螺纹钢</v>
      </c>
      <c r="F4826" s="120" t="s">
        <v>142</v>
      </c>
      <c r="G4826" s="121">
        <v>10</v>
      </c>
      <c r="H4826" s="134"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0" t="str">
        <f>VLOOKUP(B4826,辅助信息!E:I,3,FALSE)</f>
        <v>(乐山市校地共建产教融合基地建设项目一标段)四川省乐山市市中区苏稽镇周山嘴</v>
      </c>
      <c r="J4826" s="120" t="str">
        <f>VLOOKUP(B4826,辅助信息!E:I,4,FALSE)</f>
        <v>范增云</v>
      </c>
      <c r="K4826" s="120">
        <f>VLOOKUP(J4826,辅助信息!H:I,2,FALSE)</f>
        <v>13668153241</v>
      </c>
      <c r="L4826" s="122" t="str">
        <f>VLOOKUP(B4826,辅助信息!E:J,6,FALSE)</f>
        <v>联系实际收货人（范增云13668153241）现场要求炉批号控制2个以下，超2个不给予签收。提前联系到场规格及数量</v>
      </c>
      <c r="M4826" s="91">
        <v>45950</v>
      </c>
      <c r="O4826" s="62">
        <f ca="1" t="shared" si="232"/>
        <v>0</v>
      </c>
      <c r="P4826" s="62">
        <f ca="1" t="shared" si="233"/>
        <v>10</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6" t="s">
        <v>167</v>
      </c>
      <c r="C4827" s="70">
        <v>45952</v>
      </c>
      <c r="D4827" s="120" t="str">
        <f>VLOOKUP(B4827,辅助信息!E:K,7,FALSE)</f>
        <v>JWDDCD2025102100473</v>
      </c>
      <c r="E4827" s="120" t="str">
        <f>VLOOKUP(F4827,辅助信息!A:B,2,FALSE)</f>
        <v>螺纹钢</v>
      </c>
      <c r="F4827" s="120" t="s">
        <v>19</v>
      </c>
      <c r="G4827" s="121">
        <v>6</v>
      </c>
      <c r="H4827" s="134">
        <f>IF(SUMIFS('[1]2025年已发货'!$E:$E,'[1]2025年已发货'!$F:$F,C4831,'[1]2025年已发货'!$C:$C,F4827,'[1]2025年已发货'!$G:$G,I4827,'[1]2025年已发货'!$H:$H,J4827)=0,"未发货",SUMIFS('[1]2025年已发货'!$E:$E,'[1]2025年已发货'!$F:$F,C4831,'[1]2025年已发货'!$C:$C,F4827,'[1]2025年已发货'!$G:$G,I4827,'[1]2025年已发货'!$H:$H,J4827))</f>
        <v>6</v>
      </c>
      <c r="I4827" s="156" t="str">
        <f>VLOOKUP(B4827,辅助信息!E:I,3,FALSE)</f>
        <v>(五冶建设扩建艺体中学二期工程)四川省成都市双流区光荣路成都艺体中学南200米</v>
      </c>
      <c r="J4827" s="120" t="str">
        <f>VLOOKUP(B4827,辅助信息!E:I,4,FALSE)</f>
        <v>谢序强</v>
      </c>
      <c r="K4827" s="120">
        <f>VLOOKUP(J4827,辅助信息!H:I,2,FALSE)</f>
        <v>13458588232</v>
      </c>
      <c r="L4827" s="122"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1">
        <v>45950</v>
      </c>
      <c r="O4827" s="62">
        <f ca="1" t="shared" si="232"/>
        <v>0</v>
      </c>
      <c r="P4827" s="62">
        <f ca="1" t="shared" si="233"/>
        <v>10</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6" t="s">
        <v>167</v>
      </c>
      <c r="C4828" s="70">
        <v>45952</v>
      </c>
      <c r="D4828" s="120" t="str">
        <f>VLOOKUP(B4828,辅助信息!E:K,7,FALSE)</f>
        <v>JWDDCD2025102100473</v>
      </c>
      <c r="E4828" s="120" t="str">
        <f>VLOOKUP(F4828,辅助信息!A:B,2,FALSE)</f>
        <v>螺纹钢</v>
      </c>
      <c r="F4828" s="120" t="s">
        <v>66</v>
      </c>
      <c r="G4828" s="121">
        <v>6</v>
      </c>
      <c r="H4828" s="134">
        <f>IF(SUMIFS('[1]2025年已发货'!$E:$E,'[1]2025年已发货'!$F:$F,C4832,'[1]2025年已发货'!$C:$C,F4828,'[1]2025年已发货'!$G:$G,I4828,'[1]2025年已发货'!$H:$H,J4828)=0,"未发货",SUMIFS('[1]2025年已发货'!$E:$E,'[1]2025年已发货'!$F:$F,C4832,'[1]2025年已发货'!$C:$C,F4828,'[1]2025年已发货'!$G:$G,I4828,'[1]2025年已发货'!$H:$H,J4828))</f>
        <v>6</v>
      </c>
      <c r="I4828" s="156" t="str">
        <f>VLOOKUP(B4828,辅助信息!E:I,3,FALSE)</f>
        <v>(五冶建设扩建艺体中学二期工程)四川省成都市双流区光荣路成都艺体中学南200米</v>
      </c>
      <c r="J4828" s="120" t="str">
        <f>VLOOKUP(B4828,辅助信息!E:I,4,FALSE)</f>
        <v>谢序强</v>
      </c>
      <c r="K4828" s="120">
        <f>VLOOKUP(J4828,辅助信息!H:I,2,FALSE)</f>
        <v>13458588232</v>
      </c>
      <c r="L4828" s="122"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1">
        <v>45950</v>
      </c>
      <c r="O4828" s="62">
        <f ca="1" t="shared" si="232"/>
        <v>0</v>
      </c>
      <c r="P4828" s="62">
        <f ca="1" t="shared" si="233"/>
        <v>10</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6" t="s">
        <v>167</v>
      </c>
      <c r="C4829" s="70">
        <v>45952</v>
      </c>
      <c r="D4829" s="120" t="str">
        <f>VLOOKUP(B4829,辅助信息!E:K,7,FALSE)</f>
        <v>JWDDCD2025102100473</v>
      </c>
      <c r="E4829" s="120" t="str">
        <f>VLOOKUP(F4829,辅助信息!A:B,2,FALSE)</f>
        <v>螺纹钢</v>
      </c>
      <c r="F4829" s="120" t="s">
        <v>82</v>
      </c>
      <c r="G4829" s="121">
        <v>8</v>
      </c>
      <c r="H4829" s="134">
        <f>IF(SUMIFS('[1]2025年已发货'!$E:$E,'[1]2025年已发货'!$F:$F,C4833,'[1]2025年已发货'!$C:$C,F4829,'[1]2025年已发货'!$G:$G,I4829,'[1]2025年已发货'!$H:$H,J4829)=0,"未发货",SUMIFS('[1]2025年已发货'!$E:$E,'[1]2025年已发货'!$F:$F,C4833,'[1]2025年已发货'!$C:$C,F4829,'[1]2025年已发货'!$G:$G,I4829,'[1]2025年已发货'!$H:$H,J4829))</f>
        <v>8</v>
      </c>
      <c r="I4829" s="156" t="str">
        <f>VLOOKUP(B4829,辅助信息!E:I,3,FALSE)</f>
        <v>(五冶建设扩建艺体中学二期工程)四川省成都市双流区光荣路成都艺体中学南200米</v>
      </c>
      <c r="J4829" s="120" t="str">
        <f>VLOOKUP(B4829,辅助信息!E:I,4,FALSE)</f>
        <v>谢序强</v>
      </c>
      <c r="K4829" s="120">
        <f>VLOOKUP(J4829,辅助信息!H:I,2,FALSE)</f>
        <v>13458588232</v>
      </c>
      <c r="L4829" s="122"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1">
        <v>45950</v>
      </c>
      <c r="O4829" s="62">
        <f ca="1" t="shared" si="232"/>
        <v>0</v>
      </c>
      <c r="P4829" s="62">
        <f ca="1" t="shared" si="233"/>
        <v>10</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6" t="s">
        <v>167</v>
      </c>
      <c r="C4830" s="70">
        <v>45952</v>
      </c>
      <c r="D4830" s="120" t="str">
        <f>VLOOKUP(B4830,辅助信息!E:K,7,FALSE)</f>
        <v>JWDDCD2025102100473</v>
      </c>
      <c r="E4830" s="120" t="str">
        <f>VLOOKUP(F4830,辅助信息!A:B,2,FALSE)</f>
        <v>螺纹钢</v>
      </c>
      <c r="F4830" s="120" t="s">
        <v>45</v>
      </c>
      <c r="G4830" s="121">
        <v>8</v>
      </c>
      <c r="H4830" s="134">
        <f>IF(SUMIFS('[1]2025年已发货'!$E:$E,'[1]2025年已发货'!$F:$F,C4834,'[1]2025年已发货'!$C:$C,F4830,'[1]2025年已发货'!$G:$G,I4830,'[1]2025年已发货'!$H:$H,J4830)=0,"未发货",SUMIFS('[1]2025年已发货'!$E:$E,'[1]2025年已发货'!$F:$F,C4834,'[1]2025年已发货'!$C:$C,F4830,'[1]2025年已发货'!$G:$G,I4830,'[1]2025年已发货'!$H:$H,J4830))</f>
        <v>8</v>
      </c>
      <c r="I4830" s="156" t="str">
        <f>VLOOKUP(B4830,辅助信息!E:I,3,FALSE)</f>
        <v>(五冶建设扩建艺体中学二期工程)四川省成都市双流区光荣路成都艺体中学南200米</v>
      </c>
      <c r="J4830" s="120" t="str">
        <f>VLOOKUP(B4830,辅助信息!E:I,4,FALSE)</f>
        <v>谢序强</v>
      </c>
      <c r="K4830" s="120">
        <f>VLOOKUP(J4830,辅助信息!H:I,2,FALSE)</f>
        <v>13458588232</v>
      </c>
      <c r="L4830" s="122"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1">
        <v>45950</v>
      </c>
      <c r="O4830" s="62">
        <f ca="1" t="shared" si="232"/>
        <v>0</v>
      </c>
      <c r="P4830" s="62">
        <f ca="1" t="shared" si="233"/>
        <v>10</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6" t="s">
        <v>167</v>
      </c>
      <c r="C4831" s="70">
        <v>45952</v>
      </c>
      <c r="D4831" s="120" t="str">
        <f>VLOOKUP(B4831,辅助信息!E:K,7,FALSE)</f>
        <v>JWDDCD2025102100473</v>
      </c>
      <c r="E4831" s="120" t="str">
        <f>VLOOKUP(F4831,辅助信息!A:B,2,FALSE)</f>
        <v>螺纹钢</v>
      </c>
      <c r="F4831" s="120" t="s">
        <v>21</v>
      </c>
      <c r="G4831" s="121">
        <v>3</v>
      </c>
      <c r="H4831" s="134">
        <f>IF(SUMIFS('[1]2025年已发货'!$E:$E,'[1]2025年已发货'!$F:$F,C4835,'[1]2025年已发货'!$C:$C,F4831,'[1]2025年已发货'!$G:$G,I4831,'[1]2025年已发货'!$H:$H,J4831)=0,"未发货",SUMIFS('[1]2025年已发货'!$E:$E,'[1]2025年已发货'!$F:$F,C4835,'[1]2025年已发货'!$C:$C,F4831,'[1]2025年已发货'!$G:$G,I4831,'[1]2025年已发货'!$H:$H,J4831))</f>
        <v>3</v>
      </c>
      <c r="I4831" s="156" t="str">
        <f>VLOOKUP(B4831,辅助信息!E:I,3,FALSE)</f>
        <v>(五冶建设扩建艺体中学二期工程)四川省成都市双流区光荣路成都艺体中学南200米</v>
      </c>
      <c r="J4831" s="120" t="str">
        <f>VLOOKUP(B4831,辅助信息!E:I,4,FALSE)</f>
        <v>谢序强</v>
      </c>
      <c r="K4831" s="120">
        <f>VLOOKUP(J4831,辅助信息!H:I,2,FALSE)</f>
        <v>13458588232</v>
      </c>
      <c r="L4831" s="122"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1">
        <v>45950</v>
      </c>
      <c r="O4831" s="62">
        <f ca="1" t="shared" si="232"/>
        <v>0</v>
      </c>
      <c r="P4831" s="62">
        <f ca="1" t="shared" si="233"/>
        <v>10</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6" t="s">
        <v>167</v>
      </c>
      <c r="C4832" s="70">
        <v>45952</v>
      </c>
      <c r="D4832" s="120" t="str">
        <f>VLOOKUP(B4832,辅助信息!E:K,7,FALSE)</f>
        <v>JWDDCD2025102100473</v>
      </c>
      <c r="E4832" s="120" t="str">
        <f>VLOOKUP(F4832,辅助信息!A:B,2,FALSE)</f>
        <v>螺纹钢</v>
      </c>
      <c r="F4832" s="120" t="s">
        <v>58</v>
      </c>
      <c r="G4832" s="121">
        <v>3</v>
      </c>
      <c r="H4832" s="134">
        <f>IF(SUMIFS('[1]2025年已发货'!$E:$E,'[1]2025年已发货'!$F:$F,C4836,'[1]2025年已发货'!$C:$C,F4832,'[1]2025年已发货'!$G:$G,I4832,'[1]2025年已发货'!$H:$H,J4832)=0,"未发货",SUMIFS('[1]2025年已发货'!$E:$E,'[1]2025年已发货'!$F:$F,C4836,'[1]2025年已发货'!$C:$C,F4832,'[1]2025年已发货'!$G:$G,I4832,'[1]2025年已发货'!$H:$H,J4832))</f>
        <v>3</v>
      </c>
      <c r="I4832" s="156" t="str">
        <f>VLOOKUP(B4832,辅助信息!E:I,3,FALSE)</f>
        <v>(五冶建设扩建艺体中学二期工程)四川省成都市双流区光荣路成都艺体中学南200米</v>
      </c>
      <c r="J4832" s="120" t="str">
        <f>VLOOKUP(B4832,辅助信息!E:I,4,FALSE)</f>
        <v>谢序强</v>
      </c>
      <c r="K4832" s="120">
        <f>VLOOKUP(J4832,辅助信息!H:I,2,FALSE)</f>
        <v>13458588232</v>
      </c>
      <c r="L4832" s="122"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1">
        <v>45950</v>
      </c>
      <c r="O4832" s="62">
        <f ca="1">IF(OR(M4832="",N4832&lt;&gt;""),"",MAX(M4832-TODAY(),0))</f>
        <v>0</v>
      </c>
      <c r="P4832" s="62">
        <f ca="1">IF(M4832="","",IF(N4832&lt;&gt;"",MAX(N4832-M4832,0),IF(TODAY()&gt;M4832,TODAY()-M4832,0)))</f>
        <v>10</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6" t="s">
        <v>167</v>
      </c>
      <c r="C4833" s="70">
        <v>45952</v>
      </c>
      <c r="D4833" s="120" t="str">
        <f>VLOOKUP(B4833,辅助信息!E:K,7,FALSE)</f>
        <v>JWDDCD2025102100473</v>
      </c>
      <c r="E4833" s="120" t="str">
        <f>VLOOKUP(F4833,辅助信息!A:B,2,FALSE)</f>
        <v>螺纹钢</v>
      </c>
      <c r="F4833" s="120" t="s">
        <v>46</v>
      </c>
      <c r="G4833" s="121">
        <v>11</v>
      </c>
      <c r="H4833" s="134">
        <f>IF(SUMIFS('[1]2025年已发货'!$E:$E,'[1]2025年已发货'!$F:$F,C4837,'[1]2025年已发货'!$C:$C,F4833,'[1]2025年已发货'!$G:$G,I4833,'[1]2025年已发货'!$H:$H,J4833)=0,"未发货",SUMIFS('[1]2025年已发货'!$E:$E,'[1]2025年已发货'!$F:$F,C4837,'[1]2025年已发货'!$C:$C,F4833,'[1]2025年已发货'!$G:$G,I4833,'[1]2025年已发货'!$H:$H,J4833))</f>
        <v>11</v>
      </c>
      <c r="I4833" s="156" t="str">
        <f>VLOOKUP(B4833,辅助信息!E:I,3,FALSE)</f>
        <v>(五冶建设扩建艺体中学二期工程)四川省成都市双流区光荣路成都艺体中学南200米</v>
      </c>
      <c r="J4833" s="120" t="str">
        <f>VLOOKUP(B4833,辅助信息!E:I,4,FALSE)</f>
        <v>谢序强</v>
      </c>
      <c r="K4833" s="120">
        <f>VLOOKUP(J4833,辅助信息!H:I,2,FALSE)</f>
        <v>13458588232</v>
      </c>
      <c r="L4833" s="122"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1">
        <v>45950</v>
      </c>
      <c r="O4833" s="62">
        <f ca="1">IF(OR(M4833="",N4833&lt;&gt;""),"",MAX(M4833-TODAY(),0))</f>
        <v>0</v>
      </c>
      <c r="P4833" s="62">
        <f ca="1">IF(M4833="","",IF(N4833&lt;&gt;"",MAX(N4833-M4833,0),IF(TODAY()&gt;M4833,TODAY()-M4833,0)))</f>
        <v>10</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6" t="s">
        <v>167</v>
      </c>
      <c r="C4834" s="70">
        <v>45952</v>
      </c>
      <c r="D4834" s="120" t="str">
        <f>VLOOKUP(B4834,辅助信息!E:K,7,FALSE)</f>
        <v>JWDDCD2025102100473</v>
      </c>
      <c r="E4834" s="120" t="str">
        <f>VLOOKUP(F4834,辅助信息!A:B,2,FALSE)</f>
        <v>螺纹钢</v>
      </c>
      <c r="F4834" s="120" t="s">
        <v>22</v>
      </c>
      <c r="G4834" s="121">
        <v>46</v>
      </c>
      <c r="H4834" s="134">
        <f>IF(SUMIFS('[1]2025年已发货'!$E:$E,'[1]2025年已发货'!$F:$F,C4838,'[1]2025年已发货'!$C:$C,F4834,'[1]2025年已发货'!$G:$G,I4834,'[1]2025年已发货'!$H:$H,J4834)=0,"未发货",SUMIFS('[1]2025年已发货'!$E:$E,'[1]2025年已发货'!$F:$F,C4838,'[1]2025年已发货'!$C:$C,F4834,'[1]2025年已发货'!$G:$G,I4834,'[1]2025年已发货'!$H:$H,J4834))</f>
        <v>46</v>
      </c>
      <c r="I4834" s="156" t="str">
        <f>VLOOKUP(B4834,辅助信息!E:I,3,FALSE)</f>
        <v>(五冶建设扩建艺体中学二期工程)四川省成都市双流区光荣路成都艺体中学南200米</v>
      </c>
      <c r="J4834" s="120" t="str">
        <f>VLOOKUP(B4834,辅助信息!E:I,4,FALSE)</f>
        <v>谢序强</v>
      </c>
      <c r="K4834" s="120">
        <f>VLOOKUP(J4834,辅助信息!H:I,2,FALSE)</f>
        <v>13458588232</v>
      </c>
      <c r="L4834" s="122"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1">
        <v>45950</v>
      </c>
      <c r="O4834" s="62">
        <f ca="1">IF(OR(M4834="",N4834&lt;&gt;""),"",MAX(M4834-TODAY(),0))</f>
        <v>0</v>
      </c>
      <c r="P4834" s="62">
        <f ca="1">IF(M4834="","",IF(N4834&lt;&gt;"",MAX(N4834-M4834,0),IF(TODAY()&gt;M4834,TODAY()-M4834,0)))</f>
        <v>10</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6" t="s">
        <v>167</v>
      </c>
      <c r="C4835" s="70">
        <v>45952</v>
      </c>
      <c r="D4835" s="120" t="str">
        <f>VLOOKUP(B4835,辅助信息!E:K,7,FALSE)</f>
        <v>JWDDCD2025102100473</v>
      </c>
      <c r="E4835" s="120" t="str">
        <f>VLOOKUP(F4835,辅助信息!A:B,2,FALSE)</f>
        <v>螺纹钢</v>
      </c>
      <c r="F4835" s="120" t="s">
        <v>181</v>
      </c>
      <c r="G4835" s="121">
        <v>8</v>
      </c>
      <c r="H4835" s="134">
        <f>IF(SUMIFS('[1]2025年已发货'!$E:$E,'[1]2025年已发货'!$F:$F,C4839,'[1]2025年已发货'!$C:$C,F4835,'[1]2025年已发货'!$G:$G,I4835,'[1]2025年已发货'!$H:$H,J4835)=0,"未发货",SUMIFS('[1]2025年已发货'!$E:$E,'[1]2025年已发货'!$F:$F,C4839,'[1]2025年已发货'!$C:$C,F4835,'[1]2025年已发货'!$G:$G,I4835,'[1]2025年已发货'!$H:$H,J4835))</f>
        <v>8</v>
      </c>
      <c r="I4835" s="156" t="str">
        <f>VLOOKUP(B4835,辅助信息!E:I,3,FALSE)</f>
        <v>(五冶建设扩建艺体中学二期工程)四川省成都市双流区光荣路成都艺体中学南200米</v>
      </c>
      <c r="J4835" s="120" t="str">
        <f>VLOOKUP(B4835,辅助信息!E:I,4,FALSE)</f>
        <v>谢序强</v>
      </c>
      <c r="K4835" s="120">
        <f>VLOOKUP(J4835,辅助信息!H:I,2,FALSE)</f>
        <v>13458588232</v>
      </c>
      <c r="L4835" s="122"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1">
        <v>45950</v>
      </c>
      <c r="O4835" s="62">
        <f ca="1">IF(OR(M4835="",N4835&lt;&gt;""),"",MAX(M4835-TODAY(),0))</f>
        <v>0</v>
      </c>
      <c r="P4835" s="62">
        <f ca="1">IF(M4835="","",IF(N4835&lt;&gt;"",MAX(N4835-M4835,0),IF(TODAY()&gt;M4835,TODAY()-M4835,0)))</f>
        <v>10</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6" t="s">
        <v>167</v>
      </c>
      <c r="C4836" s="70">
        <v>45952</v>
      </c>
      <c r="D4836" s="120" t="str">
        <f>VLOOKUP(B4836,辅助信息!E:K,7,FALSE)</f>
        <v>JWDDCD2025102100473</v>
      </c>
      <c r="E4836" s="120" t="str">
        <f>VLOOKUP(F4836,辅助信息!A:B,2,FALSE)</f>
        <v>螺纹钢</v>
      </c>
      <c r="F4836" s="120" t="s">
        <v>182</v>
      </c>
      <c r="G4836" s="121">
        <v>6</v>
      </c>
      <c r="H4836" s="134">
        <f>IF(SUMIFS('[1]2025年已发货'!$E:$E,'[1]2025年已发货'!$F:$F,C4840,'[1]2025年已发货'!$C:$C,F4836,'[1]2025年已发货'!$G:$G,I4836,'[1]2025年已发货'!$H:$H,J4836)=0,"未发货",SUMIFS('[1]2025年已发货'!$E:$E,'[1]2025年已发货'!$F:$F,C4840,'[1]2025年已发货'!$C:$C,F4836,'[1]2025年已发货'!$G:$G,I4836,'[1]2025年已发货'!$H:$H,J4836))</f>
        <v>6</v>
      </c>
      <c r="I4836" s="156" t="str">
        <f>VLOOKUP(B4836,辅助信息!E:I,3,FALSE)</f>
        <v>(五冶建设扩建艺体中学二期工程)四川省成都市双流区光荣路成都艺体中学南200米</v>
      </c>
      <c r="J4836" s="120" t="str">
        <f>VLOOKUP(B4836,辅助信息!E:I,4,FALSE)</f>
        <v>谢序强</v>
      </c>
      <c r="K4836" s="120">
        <f>VLOOKUP(J4836,辅助信息!H:I,2,FALSE)</f>
        <v>13458588232</v>
      </c>
      <c r="L4836" s="122"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1">
        <v>45950</v>
      </c>
      <c r="O4836" s="62">
        <f ca="1" t="shared" ref="O4832:O4899" si="234">IF(OR(M4836="",N4836&lt;&gt;""),"",MAX(M4836-TODAY(),0))</f>
        <v>0</v>
      </c>
      <c r="P4836" s="62">
        <f ca="1" t="shared" ref="P4832:P4899" si="235">IF(M4836="","",IF(N4836&lt;&gt;"",MAX(N4836-M4836,0),IF(TODAY()&gt;M4836,TODAY()-M4836,0)))</f>
        <v>10</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5" t="s">
        <v>229</v>
      </c>
      <c r="C4837" s="70">
        <v>45952</v>
      </c>
      <c r="D4837" s="40" t="str">
        <f>VLOOKUP(B4837,辅助信息!E:K,7,FALSE)</f>
        <v>JWDDCD2025092400212</v>
      </c>
      <c r="E4837" s="40" t="str">
        <f>VLOOKUP(F4837,辅助信息!A:B,2,FALSE)</f>
        <v>高线</v>
      </c>
      <c r="F4837" s="40" t="s">
        <v>57</v>
      </c>
      <c r="G4837" s="36">
        <v>2</v>
      </c>
      <c r="H4837" s="134"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09">
        <f>VLOOKUP(B4837,辅助信息!E:J,6,FALSE)</f>
        <v>0</v>
      </c>
      <c r="M4837" s="91">
        <v>45950</v>
      </c>
      <c r="O4837" s="62">
        <f ca="1" t="shared" si="234"/>
        <v>0</v>
      </c>
      <c r="P4837" s="62">
        <f ca="1" t="shared" si="235"/>
        <v>10</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5" t="s">
        <v>229</v>
      </c>
      <c r="C4838" s="70">
        <v>45952</v>
      </c>
      <c r="D4838" s="40" t="str">
        <f>VLOOKUP(B4838,辅助信息!E:K,7,FALSE)</f>
        <v>JWDDCD2025092400212</v>
      </c>
      <c r="E4838" s="40" t="str">
        <f>VLOOKUP(F4838,辅助信息!A:B,2,FALSE)</f>
        <v>高线</v>
      </c>
      <c r="F4838" s="40" t="s">
        <v>53</v>
      </c>
      <c r="G4838" s="36">
        <v>2</v>
      </c>
      <c r="H4838" s="134"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09">
        <f>VLOOKUP(B4838,辅助信息!E:J,6,FALSE)</f>
        <v>0</v>
      </c>
      <c r="M4838" s="91">
        <v>45950</v>
      </c>
      <c r="O4838" s="62">
        <f ca="1" t="shared" si="234"/>
        <v>0</v>
      </c>
      <c r="P4838" s="62">
        <f ca="1" t="shared" si="235"/>
        <v>10</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5" t="s">
        <v>229</v>
      </c>
      <c r="C4839" s="70">
        <v>45952</v>
      </c>
      <c r="D4839" s="40" t="str">
        <f>VLOOKUP(B4839,辅助信息!E:K,7,FALSE)</f>
        <v>JWDDCD2025092400212</v>
      </c>
      <c r="E4839" s="40" t="str">
        <f>VLOOKUP(F4839,辅助信息!A:B,2,FALSE)</f>
        <v>盘螺</v>
      </c>
      <c r="F4839" s="40" t="s">
        <v>49</v>
      </c>
      <c r="G4839" s="36">
        <v>2</v>
      </c>
      <c r="H4839" s="134"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09">
        <f>VLOOKUP(B4839,辅助信息!E:J,6,FALSE)</f>
        <v>0</v>
      </c>
      <c r="M4839" s="91">
        <v>45950</v>
      </c>
      <c r="O4839" s="62">
        <f ca="1" t="shared" si="234"/>
        <v>0</v>
      </c>
      <c r="P4839" s="62">
        <f ca="1" t="shared" si="235"/>
        <v>10</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5" t="s">
        <v>229</v>
      </c>
      <c r="C4840" s="70">
        <v>45952</v>
      </c>
      <c r="D4840" s="40" t="str">
        <f>VLOOKUP(B4840,辅助信息!E:K,7,FALSE)</f>
        <v>JWDDCD2025092400212</v>
      </c>
      <c r="E4840" s="40" t="str">
        <f>VLOOKUP(F4840,辅助信息!A:B,2,FALSE)</f>
        <v>盘螺</v>
      </c>
      <c r="F4840" s="40" t="s">
        <v>40</v>
      </c>
      <c r="G4840" s="36">
        <v>8</v>
      </c>
      <c r="H4840" s="134"/>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09">
        <f>VLOOKUP(B4840,辅助信息!E:J,6,FALSE)</f>
        <v>0</v>
      </c>
      <c r="M4840" s="91">
        <v>45950</v>
      </c>
      <c r="O4840" s="62">
        <f ca="1" t="shared" si="234"/>
        <v>0</v>
      </c>
      <c r="P4840" s="62">
        <f ca="1" t="shared" si="235"/>
        <v>10</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5" t="s">
        <v>229</v>
      </c>
      <c r="C4841" s="70">
        <v>45952</v>
      </c>
      <c r="D4841" s="40" t="str">
        <f>VLOOKUP(B4841,辅助信息!E:K,7,FALSE)</f>
        <v>JWDDCD2025092400212</v>
      </c>
      <c r="E4841" s="40" t="str">
        <f>VLOOKUP(F4841,辅助信息!A:B,2,FALSE)</f>
        <v>盘螺</v>
      </c>
      <c r="F4841" s="40" t="s">
        <v>41</v>
      </c>
      <c r="G4841" s="36">
        <v>20</v>
      </c>
      <c r="H4841" s="134"/>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09">
        <f>VLOOKUP(B4841,辅助信息!E:J,6,FALSE)</f>
        <v>0</v>
      </c>
      <c r="M4841" s="91">
        <v>45950</v>
      </c>
      <c r="O4841" s="62">
        <f ca="1" t="shared" si="234"/>
        <v>0</v>
      </c>
      <c r="P4841" s="62">
        <f ca="1" t="shared" si="235"/>
        <v>10</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5" t="s">
        <v>229</v>
      </c>
      <c r="C4842" s="70">
        <v>45952</v>
      </c>
      <c r="D4842" s="40" t="str">
        <f>VLOOKUP(B4842,辅助信息!E:K,7,FALSE)</f>
        <v>JWDDCD2025092400212</v>
      </c>
      <c r="E4842" s="40" t="str">
        <f>VLOOKUP(F4842,辅助信息!A:B,2,FALSE)</f>
        <v>螺纹钢</v>
      </c>
      <c r="F4842" s="40" t="s">
        <v>27</v>
      </c>
      <c r="G4842" s="36">
        <v>30</v>
      </c>
      <c r="H4842" s="134"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09">
        <f>VLOOKUP(B4842,辅助信息!E:J,6,FALSE)</f>
        <v>0</v>
      </c>
      <c r="M4842" s="91">
        <v>45950</v>
      </c>
      <c r="O4842" s="62">
        <f ca="1" t="shared" si="234"/>
        <v>0</v>
      </c>
      <c r="P4842" s="62">
        <f ca="1" t="shared" si="235"/>
        <v>10</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5" t="s">
        <v>229</v>
      </c>
      <c r="C4843" s="70">
        <v>45952</v>
      </c>
      <c r="D4843" s="40" t="str">
        <f>VLOOKUP(B4843,辅助信息!E:K,7,FALSE)</f>
        <v>JWDDCD2025092400212</v>
      </c>
      <c r="E4843" s="40" t="str">
        <f>VLOOKUP(F4843,辅助信息!A:B,2,FALSE)</f>
        <v>螺纹钢</v>
      </c>
      <c r="F4843" s="40" t="s">
        <v>19</v>
      </c>
      <c r="G4843" s="36">
        <v>50</v>
      </c>
      <c r="H4843" s="134">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09">
        <f>VLOOKUP(B4843,辅助信息!E:J,6,FALSE)</f>
        <v>0</v>
      </c>
      <c r="M4843" s="91">
        <v>45950</v>
      </c>
      <c r="O4843" s="62">
        <f ca="1" t="shared" si="234"/>
        <v>0</v>
      </c>
      <c r="P4843" s="62">
        <f ca="1" t="shared" si="235"/>
        <v>10</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5" t="s">
        <v>229</v>
      </c>
      <c r="C4844" s="70">
        <v>45952</v>
      </c>
      <c r="D4844" s="40" t="str">
        <f>VLOOKUP(B4844,辅助信息!E:K,7,FALSE)</f>
        <v>JWDDCD2025092400212</v>
      </c>
      <c r="E4844" s="40" t="str">
        <f>VLOOKUP(F4844,辅助信息!A:B,2,FALSE)</f>
        <v>螺纹钢</v>
      </c>
      <c r="F4844" s="40" t="s">
        <v>32</v>
      </c>
      <c r="G4844" s="36">
        <v>10</v>
      </c>
      <c r="H4844" s="134">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09">
        <f>VLOOKUP(B4844,辅助信息!E:J,6,FALSE)</f>
        <v>0</v>
      </c>
      <c r="M4844" s="91">
        <v>45950</v>
      </c>
      <c r="O4844" s="62">
        <f ca="1" t="shared" si="234"/>
        <v>0</v>
      </c>
      <c r="P4844" s="62">
        <f ca="1" t="shared" si="235"/>
        <v>10</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5" t="s">
        <v>229</v>
      </c>
      <c r="C4845" s="70">
        <v>45952</v>
      </c>
      <c r="D4845" s="40" t="str">
        <f>VLOOKUP(B4845,辅助信息!E:K,7,FALSE)</f>
        <v>JWDDCD2025092400212</v>
      </c>
      <c r="E4845" s="40" t="str">
        <f>VLOOKUP(F4845,辅助信息!A:B,2,FALSE)</f>
        <v>螺纹钢</v>
      </c>
      <c r="F4845" s="40" t="s">
        <v>30</v>
      </c>
      <c r="G4845" s="36">
        <v>4</v>
      </c>
      <c r="H4845" s="134">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09">
        <f>VLOOKUP(B4845,辅助信息!E:J,6,FALSE)</f>
        <v>0</v>
      </c>
      <c r="M4845" s="91">
        <v>45950</v>
      </c>
      <c r="O4845" s="62">
        <f ca="1" t="shared" si="234"/>
        <v>0</v>
      </c>
      <c r="P4845" s="62">
        <f ca="1" t="shared" si="235"/>
        <v>10</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5" t="s">
        <v>229</v>
      </c>
      <c r="C4846" s="70">
        <v>45952</v>
      </c>
      <c r="D4846" s="40" t="str">
        <f>VLOOKUP(B4846,辅助信息!E:K,7,FALSE)</f>
        <v>JWDDCD2025092400212</v>
      </c>
      <c r="E4846" s="40" t="str">
        <f>VLOOKUP(F4846,辅助信息!A:B,2,FALSE)</f>
        <v>螺纹钢</v>
      </c>
      <c r="F4846" s="40" t="s">
        <v>33</v>
      </c>
      <c r="G4846" s="36">
        <v>8</v>
      </c>
      <c r="H4846" s="134">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09">
        <f>VLOOKUP(B4846,辅助信息!E:J,6,FALSE)</f>
        <v>0</v>
      </c>
      <c r="M4846" s="91">
        <v>45950</v>
      </c>
      <c r="O4846" s="62">
        <f ca="1" t="shared" si="234"/>
        <v>0</v>
      </c>
      <c r="P4846" s="62">
        <f ca="1" t="shared" si="235"/>
        <v>10</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5" t="s">
        <v>229</v>
      </c>
      <c r="C4847" s="70">
        <v>45952</v>
      </c>
      <c r="D4847" s="40" t="str">
        <f>VLOOKUP(B4847,辅助信息!E:K,7,FALSE)</f>
        <v>JWDDCD2025092400212</v>
      </c>
      <c r="E4847" s="40" t="str">
        <f>VLOOKUP(F4847,辅助信息!A:B,2,FALSE)</f>
        <v>螺纹钢</v>
      </c>
      <c r="F4847" s="40" t="s">
        <v>28</v>
      </c>
      <c r="G4847" s="36">
        <v>2</v>
      </c>
      <c r="H4847" s="134">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09">
        <f>VLOOKUP(B4847,辅助信息!E:J,6,FALSE)</f>
        <v>0</v>
      </c>
      <c r="M4847" s="91">
        <v>45950</v>
      </c>
      <c r="O4847" s="62">
        <f ca="1" t="shared" si="234"/>
        <v>0</v>
      </c>
      <c r="P4847" s="62">
        <f ca="1" t="shared" si="235"/>
        <v>10</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5" t="s">
        <v>229</v>
      </c>
      <c r="C4848" s="70">
        <v>45952</v>
      </c>
      <c r="D4848" s="40" t="str">
        <f>VLOOKUP(B4848,辅助信息!E:K,7,FALSE)</f>
        <v>JWDDCD2025092400212</v>
      </c>
      <c r="E4848" s="40" t="str">
        <f>VLOOKUP(F4848,辅助信息!A:B,2,FALSE)</f>
        <v>螺纹钢</v>
      </c>
      <c r="F4848" s="40" t="s">
        <v>18</v>
      </c>
      <c r="G4848" s="36">
        <v>6</v>
      </c>
      <c r="H4848" s="134">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09">
        <f>VLOOKUP(B4848,辅助信息!E:J,6,FALSE)</f>
        <v>0</v>
      </c>
      <c r="M4848" s="91">
        <v>45950</v>
      </c>
      <c r="O4848" s="62">
        <f ca="1" t="shared" si="234"/>
        <v>0</v>
      </c>
      <c r="P4848" s="62">
        <f ca="1" t="shared" si="235"/>
        <v>10</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5" t="s">
        <v>229</v>
      </c>
      <c r="C4849" s="70">
        <v>45952</v>
      </c>
      <c r="D4849" s="40" t="str">
        <f>VLOOKUP(B4849,辅助信息!E:K,7,FALSE)</f>
        <v>JWDDCD2025092400212</v>
      </c>
      <c r="E4849" s="40" t="str">
        <f>VLOOKUP(F4849,辅助信息!A:B,2,FALSE)</f>
        <v>螺纹钢</v>
      </c>
      <c r="F4849" s="40" t="s">
        <v>66</v>
      </c>
      <c r="G4849" s="36">
        <v>2</v>
      </c>
      <c r="H4849" s="134">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09">
        <f>VLOOKUP(B4849,辅助信息!E:J,6,FALSE)</f>
        <v>0</v>
      </c>
      <c r="M4849" s="91">
        <v>45950</v>
      </c>
      <c r="O4849" s="62">
        <f ca="1" t="shared" si="234"/>
        <v>0</v>
      </c>
      <c r="P4849" s="62">
        <f ca="1" t="shared" si="235"/>
        <v>10</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5" t="s">
        <v>229</v>
      </c>
      <c r="C4850" s="70">
        <v>45952</v>
      </c>
      <c r="D4850" s="40" t="str">
        <f>VLOOKUP(B4850,辅助信息!E:K,7,FALSE)</f>
        <v>JWDDCD2025092400212</v>
      </c>
      <c r="E4850" s="40" t="str">
        <f>VLOOKUP(F4850,辅助信息!A:B,2,FALSE)</f>
        <v>螺纹钢</v>
      </c>
      <c r="F4850" s="40" t="s">
        <v>82</v>
      </c>
      <c r="G4850" s="36">
        <v>2</v>
      </c>
      <c r="H4850" s="134">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09">
        <f>VLOOKUP(B4850,辅助信息!E:J,6,FALSE)</f>
        <v>0</v>
      </c>
      <c r="M4850" s="91">
        <v>45950</v>
      </c>
      <c r="O4850" s="62">
        <f ca="1" t="shared" si="234"/>
        <v>0</v>
      </c>
      <c r="P4850" s="62">
        <f ca="1" t="shared" si="235"/>
        <v>10</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5" t="s">
        <v>229</v>
      </c>
      <c r="C4851" s="70">
        <v>45952</v>
      </c>
      <c r="D4851" s="40" t="str">
        <f>VLOOKUP(B4851,辅助信息!E:K,7,FALSE)</f>
        <v>JWDDCD2025092400212</v>
      </c>
      <c r="E4851" s="40" t="str">
        <f>VLOOKUP(F4851,辅助信息!A:B,2,FALSE)</f>
        <v>螺纹钢</v>
      </c>
      <c r="F4851" s="40" t="s">
        <v>45</v>
      </c>
      <c r="G4851" s="36">
        <v>2</v>
      </c>
      <c r="H4851" s="134">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09">
        <f>VLOOKUP(B4851,辅助信息!E:J,6,FALSE)</f>
        <v>0</v>
      </c>
      <c r="M4851" s="91">
        <v>45950</v>
      </c>
      <c r="O4851" s="62">
        <f ca="1" t="shared" si="234"/>
        <v>0</v>
      </c>
      <c r="P4851" s="62">
        <f ca="1" t="shared" si="235"/>
        <v>10</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5" t="s">
        <v>229</v>
      </c>
      <c r="C4852" s="70">
        <v>45952</v>
      </c>
      <c r="D4852" s="40" t="str">
        <f>VLOOKUP(B4852,辅助信息!E:K,7,FALSE)</f>
        <v>JWDDCD2025092400212</v>
      </c>
      <c r="E4852" s="40" t="str">
        <f>VLOOKUP(F4852,辅助信息!A:B,2,FALSE)</f>
        <v>螺纹钢</v>
      </c>
      <c r="F4852" s="40" t="s">
        <v>21</v>
      </c>
      <c r="G4852" s="36">
        <v>2</v>
      </c>
      <c r="H4852" s="134">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09">
        <f>VLOOKUP(B4852,辅助信息!E:J,6,FALSE)</f>
        <v>0</v>
      </c>
      <c r="M4852" s="91">
        <v>45950</v>
      </c>
      <c r="O4852" s="62">
        <f ca="1" t="shared" si="234"/>
        <v>0</v>
      </c>
      <c r="P4852" s="62">
        <f ca="1" t="shared" si="235"/>
        <v>10</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5" t="s">
        <v>229</v>
      </c>
      <c r="C4853" s="70">
        <v>45952</v>
      </c>
      <c r="D4853" s="40" t="str">
        <f>VLOOKUP(B4853,辅助信息!E:K,7,FALSE)</f>
        <v>JWDDCD2025092400212</v>
      </c>
      <c r="E4853" s="40" t="str">
        <f>VLOOKUP(F4853,辅助信息!A:B,2,FALSE)</f>
        <v>螺纹钢</v>
      </c>
      <c r="F4853" s="40" t="s">
        <v>58</v>
      </c>
      <c r="G4853" s="36">
        <v>2</v>
      </c>
      <c r="H4853" s="134">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09">
        <f>VLOOKUP(B4853,辅助信息!E:J,6,FALSE)</f>
        <v>0</v>
      </c>
      <c r="M4853" s="91">
        <v>45950</v>
      </c>
      <c r="O4853" s="62">
        <f ca="1" t="shared" si="234"/>
        <v>0</v>
      </c>
      <c r="P4853" s="62">
        <f ca="1" t="shared" si="235"/>
        <v>10</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5" t="s">
        <v>229</v>
      </c>
      <c r="C4854" s="70">
        <v>45952</v>
      </c>
      <c r="D4854" s="40" t="str">
        <f>VLOOKUP(B4854,辅助信息!E:K,7,FALSE)</f>
        <v>JWDDCD2025092400212</v>
      </c>
      <c r="E4854" s="40" t="str">
        <f>VLOOKUP(F4854,辅助信息!A:B,2,FALSE)</f>
        <v>螺纹钢</v>
      </c>
      <c r="F4854" s="40" t="s">
        <v>46</v>
      </c>
      <c r="G4854" s="36">
        <v>4</v>
      </c>
      <c r="H4854" s="134">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09">
        <f>VLOOKUP(B4854,辅助信息!E:J,6,FALSE)</f>
        <v>0</v>
      </c>
      <c r="M4854" s="91">
        <v>45950</v>
      </c>
      <c r="O4854" s="62">
        <f ca="1" t="shared" si="234"/>
        <v>0</v>
      </c>
      <c r="P4854" s="62">
        <f ca="1" t="shared" si="235"/>
        <v>10</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5" t="s">
        <v>229</v>
      </c>
      <c r="C4855" s="70">
        <v>45952</v>
      </c>
      <c r="D4855" s="40" t="str">
        <f>VLOOKUP(B4855,辅助信息!E:K,7,FALSE)</f>
        <v>JWDDCD2025092400212</v>
      </c>
      <c r="E4855" s="40" t="str">
        <f>VLOOKUP(F4855,辅助信息!A:B,2,FALSE)</f>
        <v>螺纹钢</v>
      </c>
      <c r="F4855" s="40" t="s">
        <v>22</v>
      </c>
      <c r="G4855" s="36">
        <v>10</v>
      </c>
      <c r="H4855" s="134">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09">
        <f>VLOOKUP(B4855,辅助信息!E:J,6,FALSE)</f>
        <v>0</v>
      </c>
      <c r="M4855" s="91">
        <v>45950</v>
      </c>
      <c r="O4855" s="62">
        <f ca="1" t="shared" si="234"/>
        <v>0</v>
      </c>
      <c r="P4855" s="62">
        <f ca="1" t="shared" si="235"/>
        <v>10</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5" t="s">
        <v>229</v>
      </c>
      <c r="C4856" s="70">
        <v>45952</v>
      </c>
      <c r="D4856" s="40" t="str">
        <f>VLOOKUP(B4856,辅助信息!E:K,7,FALSE)</f>
        <v>JWDDCD2025092400212</v>
      </c>
      <c r="E4856" s="40" t="str">
        <f>VLOOKUP(F4856,辅助信息!A:B,2,FALSE)</f>
        <v>盘螺</v>
      </c>
      <c r="F4856" s="40" t="s">
        <v>49</v>
      </c>
      <c r="G4856" s="36">
        <v>6</v>
      </c>
      <c r="H4856" s="134"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09">
        <f>VLOOKUP(B4856,辅助信息!E:J,6,FALSE)</f>
        <v>0</v>
      </c>
      <c r="M4856" s="91">
        <v>45950</v>
      </c>
      <c r="O4856" s="62">
        <f ca="1" t="shared" si="234"/>
        <v>0</v>
      </c>
      <c r="P4856" s="62">
        <f ca="1" t="shared" si="235"/>
        <v>10</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5" t="s">
        <v>229</v>
      </c>
      <c r="C4857" s="70">
        <v>45952</v>
      </c>
      <c r="D4857" s="40" t="str">
        <f>VLOOKUP(B4857,辅助信息!E:K,7,FALSE)</f>
        <v>JWDDCD2025092400212</v>
      </c>
      <c r="E4857" s="40" t="str">
        <f>VLOOKUP(F4857,辅助信息!A:B,2,FALSE)</f>
        <v>盘螺</v>
      </c>
      <c r="F4857" s="40" t="s">
        <v>40</v>
      </c>
      <c r="G4857" s="36">
        <v>20</v>
      </c>
      <c r="H4857" s="134"/>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09">
        <f>VLOOKUP(B4857,辅助信息!E:J,6,FALSE)</f>
        <v>0</v>
      </c>
      <c r="M4857" s="91">
        <v>45950</v>
      </c>
      <c r="O4857" s="62">
        <f ca="1" t="shared" si="234"/>
        <v>0</v>
      </c>
      <c r="P4857" s="62">
        <f ca="1" t="shared" si="235"/>
        <v>10</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5" t="s">
        <v>229</v>
      </c>
      <c r="C4858" s="70">
        <v>45952</v>
      </c>
      <c r="D4858" s="40" t="str">
        <f>VLOOKUP(B4858,辅助信息!E:K,7,FALSE)</f>
        <v>JWDDCD2025092400212</v>
      </c>
      <c r="E4858" s="40" t="str">
        <f>VLOOKUP(F4858,辅助信息!A:B,2,FALSE)</f>
        <v>盘螺</v>
      </c>
      <c r="F4858" s="40" t="s">
        <v>41</v>
      </c>
      <c r="G4858" s="36">
        <v>40</v>
      </c>
      <c r="H4858" s="134"/>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09">
        <f>VLOOKUP(B4858,辅助信息!E:J,6,FALSE)</f>
        <v>0</v>
      </c>
      <c r="M4858" s="91">
        <v>45950</v>
      </c>
      <c r="O4858" s="62">
        <f ca="1" t="shared" si="234"/>
        <v>0</v>
      </c>
      <c r="P4858" s="62">
        <f ca="1" t="shared" si="235"/>
        <v>10</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5" t="s">
        <v>229</v>
      </c>
      <c r="C4859" s="70">
        <v>45952</v>
      </c>
      <c r="D4859" s="40" t="str">
        <f>VLOOKUP(B4859,辅助信息!E:K,7,FALSE)</f>
        <v>JWDDCD2025092400212</v>
      </c>
      <c r="E4859" s="40" t="str">
        <f>VLOOKUP(F4859,辅助信息!A:B,2,FALSE)</f>
        <v>螺纹钢</v>
      </c>
      <c r="F4859" s="40" t="s">
        <v>27</v>
      </c>
      <c r="G4859" s="36">
        <v>57</v>
      </c>
      <c r="H4859" s="134"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09">
        <f>VLOOKUP(B4859,辅助信息!E:J,6,FALSE)</f>
        <v>0</v>
      </c>
      <c r="M4859" s="91">
        <v>45950</v>
      </c>
      <c r="O4859" s="62">
        <f ca="1" t="shared" si="234"/>
        <v>0</v>
      </c>
      <c r="P4859" s="62">
        <f ca="1" t="shared" si="235"/>
        <v>10</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5" t="s">
        <v>229</v>
      </c>
      <c r="C4860" s="70">
        <v>45952</v>
      </c>
      <c r="D4860" s="40" t="str">
        <f>VLOOKUP(B4860,辅助信息!E:K,7,FALSE)</f>
        <v>JWDDCD2025092400212</v>
      </c>
      <c r="E4860" s="40" t="str">
        <f>VLOOKUP(F4860,辅助信息!A:B,2,FALSE)</f>
        <v>螺纹钢</v>
      </c>
      <c r="F4860" s="40" t="s">
        <v>19</v>
      </c>
      <c r="G4860" s="36">
        <v>9</v>
      </c>
      <c r="H4860" s="134"/>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09">
        <f>VLOOKUP(B4860,辅助信息!E:J,6,FALSE)</f>
        <v>0</v>
      </c>
      <c r="M4860" s="91">
        <v>45950</v>
      </c>
      <c r="O4860" s="62">
        <f ca="1" t="shared" si="234"/>
        <v>0</v>
      </c>
      <c r="P4860" s="62">
        <f ca="1" t="shared" si="235"/>
        <v>10</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5" t="s">
        <v>229</v>
      </c>
      <c r="C4861" s="70">
        <v>45952</v>
      </c>
      <c r="D4861" s="40" t="str">
        <f>VLOOKUP(B4861,辅助信息!E:K,7,FALSE)</f>
        <v>JWDDCD2025092400212</v>
      </c>
      <c r="E4861" s="40" t="str">
        <f>VLOOKUP(F4861,辅助信息!A:B,2,FALSE)</f>
        <v>螺纹钢</v>
      </c>
      <c r="F4861" s="40" t="s">
        <v>32</v>
      </c>
      <c r="G4861" s="36">
        <v>6</v>
      </c>
      <c r="H4861" s="134"/>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09">
        <f>VLOOKUP(B4861,辅助信息!E:J,6,FALSE)</f>
        <v>0</v>
      </c>
      <c r="M4861" s="91">
        <v>45950</v>
      </c>
      <c r="O4861" s="62">
        <f ca="1" t="shared" si="234"/>
        <v>0</v>
      </c>
      <c r="P4861" s="62">
        <f ca="1" t="shared" si="235"/>
        <v>10</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5" t="s">
        <v>229</v>
      </c>
      <c r="C4862" s="70">
        <v>45952</v>
      </c>
      <c r="D4862" s="40" t="str">
        <f>VLOOKUP(B4862,辅助信息!E:K,7,FALSE)</f>
        <v>JWDDCD2025092400212</v>
      </c>
      <c r="E4862" s="40" t="str">
        <f>VLOOKUP(F4862,辅助信息!A:B,2,FALSE)</f>
        <v>螺纹钢</v>
      </c>
      <c r="F4862" s="40" t="s">
        <v>30</v>
      </c>
      <c r="G4862" s="36">
        <v>9</v>
      </c>
      <c r="H4862" s="134"/>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09">
        <f>VLOOKUP(B4862,辅助信息!E:J,6,FALSE)</f>
        <v>0</v>
      </c>
      <c r="M4862" s="91">
        <v>45950</v>
      </c>
      <c r="O4862" s="62">
        <f ca="1" t="shared" si="234"/>
        <v>0</v>
      </c>
      <c r="P4862" s="62">
        <f ca="1" t="shared" si="235"/>
        <v>10</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5" t="s">
        <v>229</v>
      </c>
      <c r="C4863" s="70">
        <v>45952</v>
      </c>
      <c r="D4863" s="40" t="str">
        <f>VLOOKUP(B4863,辅助信息!E:K,7,FALSE)</f>
        <v>JWDDCD2025092400212</v>
      </c>
      <c r="E4863" s="40" t="str">
        <f>VLOOKUP(F4863,辅助信息!A:B,2,FALSE)</f>
        <v>螺纹钢</v>
      </c>
      <c r="F4863" s="40" t="s">
        <v>18</v>
      </c>
      <c r="G4863" s="36">
        <v>6</v>
      </c>
      <c r="H4863" s="134"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09">
        <f>VLOOKUP(B4863,辅助信息!E:J,6,FALSE)</f>
        <v>0</v>
      </c>
      <c r="M4863" s="91">
        <v>45950</v>
      </c>
      <c r="O4863" s="62">
        <f ca="1" t="shared" si="234"/>
        <v>0</v>
      </c>
      <c r="P4863" s="62">
        <f ca="1" t="shared" si="235"/>
        <v>10</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5" t="s">
        <v>229</v>
      </c>
      <c r="C4864" s="70">
        <v>45952</v>
      </c>
      <c r="D4864" s="40" t="str">
        <f>VLOOKUP(B4864,辅助信息!E:K,7,FALSE)</f>
        <v>JWDDCD2025092400212</v>
      </c>
      <c r="E4864" s="40" t="str">
        <f>VLOOKUP(F4864,辅助信息!A:B,2,FALSE)</f>
        <v>螺纹钢</v>
      </c>
      <c r="F4864" s="40" t="s">
        <v>66</v>
      </c>
      <c r="G4864" s="36">
        <v>6</v>
      </c>
      <c r="H4864" s="134"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09">
        <f>VLOOKUP(B4864,辅助信息!E:J,6,FALSE)</f>
        <v>0</v>
      </c>
      <c r="M4864" s="91">
        <v>45950</v>
      </c>
      <c r="O4864" s="62">
        <f ca="1" t="shared" si="234"/>
        <v>0</v>
      </c>
      <c r="P4864" s="62">
        <f ca="1" t="shared" si="235"/>
        <v>10</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5" t="s">
        <v>229</v>
      </c>
      <c r="C4865" s="70">
        <v>45952</v>
      </c>
      <c r="D4865" s="40" t="str">
        <f>VLOOKUP(B4865,辅助信息!E:K,7,FALSE)</f>
        <v>JWDDCD2025092400212</v>
      </c>
      <c r="E4865" s="40" t="str">
        <f>VLOOKUP(F4865,辅助信息!A:B,2,FALSE)</f>
        <v>螺纹钢</v>
      </c>
      <c r="F4865" s="40" t="s">
        <v>58</v>
      </c>
      <c r="G4865" s="36">
        <v>6</v>
      </c>
      <c r="H4865" s="134"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09">
        <f>VLOOKUP(B4865,辅助信息!E:J,6,FALSE)</f>
        <v>0</v>
      </c>
      <c r="M4865" s="91">
        <v>45950</v>
      </c>
      <c r="O4865" s="62">
        <f ca="1" t="shared" si="234"/>
        <v>0</v>
      </c>
      <c r="P4865" s="62">
        <f ca="1" t="shared" si="235"/>
        <v>10</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5" t="s">
        <v>229</v>
      </c>
      <c r="C4866" s="70">
        <v>45952</v>
      </c>
      <c r="D4866" s="40" t="str">
        <f>VLOOKUP(B4866,辅助信息!E:K,7,FALSE)</f>
        <v>JWDDCD2025092400212</v>
      </c>
      <c r="E4866" s="40" t="str">
        <f>VLOOKUP(F4866,辅助信息!A:B,2,FALSE)</f>
        <v>螺纹钢</v>
      </c>
      <c r="F4866" s="40" t="s">
        <v>46</v>
      </c>
      <c r="G4866" s="36">
        <v>9</v>
      </c>
      <c r="H4866" s="134"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09">
        <f>VLOOKUP(B4866,辅助信息!E:J,6,FALSE)</f>
        <v>0</v>
      </c>
      <c r="M4866" s="91">
        <v>45950</v>
      </c>
      <c r="O4866" s="62">
        <f ca="1" t="shared" si="234"/>
        <v>0</v>
      </c>
      <c r="P4866" s="62">
        <f ca="1" t="shared" si="235"/>
        <v>10</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5" t="s">
        <v>229</v>
      </c>
      <c r="C4867" s="70">
        <v>45952</v>
      </c>
      <c r="D4867" s="40" t="str">
        <f>VLOOKUP(B4867,辅助信息!E:K,7,FALSE)</f>
        <v>JWDDCD2025092400212</v>
      </c>
      <c r="E4867" s="40" t="str">
        <f>VLOOKUP(F4867,辅助信息!A:B,2,FALSE)</f>
        <v>螺纹钢</v>
      </c>
      <c r="F4867" s="40" t="s">
        <v>22</v>
      </c>
      <c r="G4867" s="36">
        <v>21</v>
      </c>
      <c r="H4867" s="134"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09">
        <f>VLOOKUP(B4867,辅助信息!E:J,6,FALSE)</f>
        <v>0</v>
      </c>
      <c r="M4867" s="91">
        <v>45950</v>
      </c>
      <c r="O4867" s="62">
        <f ca="1" t="shared" si="234"/>
        <v>0</v>
      </c>
      <c r="P4867" s="62">
        <f ca="1" t="shared" si="235"/>
        <v>10</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5" t="s">
        <v>203</v>
      </c>
      <c r="C4868" s="70">
        <v>45953</v>
      </c>
      <c r="D4868" s="40" t="str">
        <f>VLOOKUP(B4868,辅助信息!E:K,7,FALSE)</f>
        <v>JWDDCD2025102100479</v>
      </c>
      <c r="E4868" s="40" t="str">
        <f>VLOOKUP(F4868,辅助信息!A:B,2,FALSE)</f>
        <v>高线</v>
      </c>
      <c r="F4868" s="40" t="s">
        <v>57</v>
      </c>
      <c r="G4868" s="36">
        <v>4</v>
      </c>
      <c r="H4868" s="134">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09"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2" t="str">
        <f ca="1" t="shared" si="234"/>
        <v/>
      </c>
      <c r="P4868" s="62"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5" t="s">
        <v>203</v>
      </c>
      <c r="C4869" s="70">
        <v>45953</v>
      </c>
      <c r="D4869" s="40" t="str">
        <f>VLOOKUP(B4869,辅助信息!E:K,7,FALSE)</f>
        <v>JWDDCD2025102100479</v>
      </c>
      <c r="E4869" s="40" t="str">
        <f>VLOOKUP(F4869,辅助信息!A:B,2,FALSE)</f>
        <v>盘螺</v>
      </c>
      <c r="F4869" s="40" t="s">
        <v>40</v>
      </c>
      <c r="G4869" s="36">
        <v>8</v>
      </c>
      <c r="H4869" s="134">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09"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2" t="str">
        <f ca="1" t="shared" si="234"/>
        <v/>
      </c>
      <c r="P4869" s="62"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5" t="s">
        <v>203</v>
      </c>
      <c r="C4870" s="70">
        <v>45953</v>
      </c>
      <c r="D4870" s="40" t="str">
        <f>VLOOKUP(B4870,辅助信息!E:K,7,FALSE)</f>
        <v>JWDDCD2025102100479</v>
      </c>
      <c r="E4870" s="40" t="str">
        <f>VLOOKUP(F4870,辅助信息!A:B,2,FALSE)</f>
        <v>螺纹钢</v>
      </c>
      <c r="F4870" s="40" t="s">
        <v>27</v>
      </c>
      <c r="G4870" s="36">
        <v>32</v>
      </c>
      <c r="H4870" s="134">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09"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2" t="str">
        <f ca="1" t="shared" si="234"/>
        <v/>
      </c>
      <c r="P4870" s="62"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5" t="s">
        <v>203</v>
      </c>
      <c r="C4871" s="70">
        <v>45953</v>
      </c>
      <c r="D4871" s="40" t="str">
        <f>VLOOKUP(B4871,辅助信息!E:K,7,FALSE)</f>
        <v>JWDDCD2025102100479</v>
      </c>
      <c r="E4871" s="40" t="str">
        <f>VLOOKUP(F4871,辅助信息!A:B,2,FALSE)</f>
        <v>螺纹钢</v>
      </c>
      <c r="F4871" s="40" t="s">
        <v>19</v>
      </c>
      <c r="G4871" s="36">
        <v>42</v>
      </c>
      <c r="H4871" s="134">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09"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2" t="str">
        <f ca="1" t="shared" si="234"/>
        <v/>
      </c>
      <c r="P4871" s="62"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5" t="s">
        <v>203</v>
      </c>
      <c r="C4872" s="70">
        <v>45953</v>
      </c>
      <c r="D4872" s="40" t="str">
        <f>VLOOKUP(B4872,辅助信息!E:K,7,FALSE)</f>
        <v>JWDDCD2025102100479</v>
      </c>
      <c r="E4872" s="40" t="str">
        <f>VLOOKUP(F4872,辅助信息!A:B,2,FALSE)</f>
        <v>螺纹钢</v>
      </c>
      <c r="F4872" s="40" t="s">
        <v>32</v>
      </c>
      <c r="G4872" s="36">
        <v>10</v>
      </c>
      <c r="H4872" s="134">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09"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2" t="str">
        <f ca="1" t="shared" si="234"/>
        <v/>
      </c>
      <c r="P4872" s="62"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5" t="s">
        <v>203</v>
      </c>
      <c r="C4873" s="70">
        <v>45953</v>
      </c>
      <c r="D4873" s="40" t="str">
        <f>VLOOKUP(B4873,辅助信息!E:K,7,FALSE)</f>
        <v>JWDDCD2025102100479</v>
      </c>
      <c r="E4873" s="40" t="str">
        <f>VLOOKUP(F4873,辅助信息!A:B,2,FALSE)</f>
        <v>螺纹钢</v>
      </c>
      <c r="F4873" s="40" t="s">
        <v>30</v>
      </c>
      <c r="G4873" s="36">
        <v>20</v>
      </c>
      <c r="H4873" s="134">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09"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2" t="str">
        <f ca="1" t="shared" si="234"/>
        <v/>
      </c>
      <c r="P4873" s="62"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5" t="s">
        <v>203</v>
      </c>
      <c r="C4874" s="70">
        <v>45953</v>
      </c>
      <c r="D4874" s="40" t="str">
        <f>VLOOKUP(B4874,辅助信息!E:K,7,FALSE)</f>
        <v>JWDDCD2025102100479</v>
      </c>
      <c r="E4874" s="40" t="str">
        <f>VLOOKUP(F4874,辅助信息!A:B,2,FALSE)</f>
        <v>螺纹钢</v>
      </c>
      <c r="F4874" s="40" t="s">
        <v>33</v>
      </c>
      <c r="G4874" s="36">
        <v>30</v>
      </c>
      <c r="H4874" s="134">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09"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2" t="str">
        <f ca="1" t="shared" si="234"/>
        <v/>
      </c>
      <c r="P4874" s="62"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5" t="s">
        <v>203</v>
      </c>
      <c r="C4875" s="70">
        <v>45953</v>
      </c>
      <c r="D4875" s="40" t="str">
        <f>VLOOKUP(B4875,辅助信息!E:K,7,FALSE)</f>
        <v>JWDDCD2025102100479</v>
      </c>
      <c r="E4875" s="40" t="str">
        <f>VLOOKUP(F4875,辅助信息!A:B,2,FALSE)</f>
        <v>螺纹钢</v>
      </c>
      <c r="F4875" s="40" t="s">
        <v>28</v>
      </c>
      <c r="G4875" s="36">
        <v>5</v>
      </c>
      <c r="H4875" s="134">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09"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2" t="str">
        <f ca="1" t="shared" si="234"/>
        <v/>
      </c>
      <c r="P4875" s="62"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5" t="s">
        <v>203</v>
      </c>
      <c r="C4876" s="70">
        <v>45953</v>
      </c>
      <c r="D4876" s="40" t="str">
        <f>VLOOKUP(B4876,辅助信息!E:K,7,FALSE)</f>
        <v>JWDDCD2025102100479</v>
      </c>
      <c r="E4876" s="40" t="str">
        <f>VLOOKUP(F4876,辅助信息!A:B,2,FALSE)</f>
        <v>螺纹钢</v>
      </c>
      <c r="F4876" s="40" t="s">
        <v>18</v>
      </c>
      <c r="G4876" s="36">
        <v>5</v>
      </c>
      <c r="H4876" s="134">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09"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2" t="str">
        <f ca="1" t="shared" si="234"/>
        <v/>
      </c>
      <c r="P4876" s="62"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5" t="s">
        <v>203</v>
      </c>
      <c r="C4877" s="70">
        <v>45953</v>
      </c>
      <c r="D4877" s="40" t="str">
        <f>VLOOKUP(B4877,辅助信息!E:K,7,FALSE)</f>
        <v>JWDDCD2025102100479</v>
      </c>
      <c r="E4877" s="40" t="str">
        <f>VLOOKUP(F4877,辅助信息!A:B,2,FALSE)</f>
        <v>螺纹钢</v>
      </c>
      <c r="F4877" s="40" t="s">
        <v>66</v>
      </c>
      <c r="G4877" s="36">
        <v>20</v>
      </c>
      <c r="H4877" s="134">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09"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2" t="str">
        <f ca="1" t="shared" si="234"/>
        <v/>
      </c>
      <c r="P4877" s="62"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6" t="s">
        <v>229</v>
      </c>
      <c r="C4878" s="70">
        <v>45953</v>
      </c>
      <c r="D4878" s="120" t="str">
        <f>VLOOKUP(B4878,辅助信息!E:K,7,FALSE)</f>
        <v>JWDDCD2025092400212</v>
      </c>
      <c r="E4878" s="120" t="str">
        <f>VLOOKUP(F4878,辅助信息!A:B,2,FALSE)</f>
        <v>盘螺</v>
      </c>
      <c r="F4878" s="120" t="s">
        <v>40</v>
      </c>
      <c r="G4878" s="121">
        <f>75-34</f>
        <v>41</v>
      </c>
      <c r="H4878" s="134"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6" t="str">
        <f>VLOOKUP(B4878,辅助信息!E:I,3,FALSE)</f>
        <v>(五冶钢构龙泉东洪片区85亩住宅、商业及配套工程项目三标段)成都市龙泉驿外东洪路地铁2号线惠王陵地铁C口</v>
      </c>
      <c r="J4878" s="120" t="str">
        <f>VLOOKUP(B4878,辅助信息!E:I,4,FALSE)</f>
        <v>王军宝</v>
      </c>
      <c r="K4878" s="120">
        <f>VLOOKUP(J4878,辅助信息!H:I,2,FALSE)</f>
        <v>13889142392</v>
      </c>
      <c r="L4878" s="122">
        <f>VLOOKUP(B4878,辅助信息!E:J,6,FALSE)</f>
        <v>0</v>
      </c>
      <c r="M4878" s="91">
        <v>45948</v>
      </c>
      <c r="O4878" s="62">
        <f ca="1" t="shared" si="234"/>
        <v>0</v>
      </c>
      <c r="P4878" s="62">
        <f ca="1" t="shared" si="235"/>
        <v>12</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6" t="s">
        <v>228</v>
      </c>
      <c r="C4879" s="70">
        <v>45953</v>
      </c>
      <c r="D4879" s="120" t="str">
        <f>VLOOKUP(B4879,辅助信息!E:K,7,FALSE)</f>
        <v>JWDDCD2025092400190</v>
      </c>
      <c r="E4879" s="120" t="str">
        <f>VLOOKUP(F4879,辅助信息!A:B,2,FALSE)</f>
        <v>盘螺</v>
      </c>
      <c r="F4879" s="120" t="s">
        <v>41</v>
      </c>
      <c r="G4879" s="121">
        <v>16</v>
      </c>
      <c r="H4879" s="134"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6" t="str">
        <f>VLOOKUP(B4879,辅助信息!E:I,3,FALSE)</f>
        <v>(五冶钢构龙泉东洪片区70亩住宅、商业及配套工程项目二标段)成都市龙泉驿外东洪路地铁2号线惠王陵地铁C口</v>
      </c>
      <c r="J4879" s="120" t="str">
        <f>VLOOKUP(B4879,辅助信息!E:I,4,FALSE)</f>
        <v>蒋嗣伟</v>
      </c>
      <c r="K4879" s="120">
        <f>VLOOKUP(J4879,辅助信息!H:I,2,FALSE)</f>
        <v>15014331252</v>
      </c>
      <c r="L4879" s="122">
        <f>VLOOKUP(B4879,辅助信息!E:J,6,FALSE)</f>
        <v>0</v>
      </c>
      <c r="M4879" s="91">
        <v>45948</v>
      </c>
      <c r="O4879" s="62">
        <f ca="1" t="shared" si="234"/>
        <v>0</v>
      </c>
      <c r="P4879" s="62">
        <f ca="1" t="shared" si="235"/>
        <v>12</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1" t="s">
        <v>112</v>
      </c>
      <c r="C4880" s="70">
        <v>45953</v>
      </c>
      <c r="D4880" s="120" t="str">
        <f>VLOOKUP(B4880,辅助信息!E:K,7,FALSE)</f>
        <v>JWDDCD2025052800131</v>
      </c>
      <c r="E4880" s="120" t="str">
        <f>VLOOKUP(F4880,辅助信息!A:B,2,FALSE)</f>
        <v>盘螺</v>
      </c>
      <c r="F4880" s="120" t="s">
        <v>49</v>
      </c>
      <c r="G4880" s="121">
        <v>9</v>
      </c>
      <c r="H4880" s="134">
        <f>IF(SUMIFS('[1]2025年已发货'!$E:$E,'[1]2025年已发货'!$F:$F,C4880,'[1]2025年已发货'!$C:$C,F4880,'[1]2025年已发货'!$G:$G,I4880,'[1]2025年已发货'!$H:$H,J4880)=0,"未发货",SUMIFS('[1]2025年已发货'!$E:$E,'[1]2025年已发货'!$F:$F,C4880,'[1]2025年已发货'!$C:$C,F4880,'[1]2025年已发货'!$G:$G,I4880,'[1]2025年已发货'!$H:$H,J4880))</f>
        <v>7.5</v>
      </c>
      <c r="I4880" s="156" t="str">
        <f>VLOOKUP(B4880,辅助信息!E:I,3,FALSE)</f>
        <v>（商投建工达州中医药科技园-4工区-10号楼）达州市通川区达州中医药职业学院犀牛大道北段</v>
      </c>
      <c r="J4880" s="120" t="str">
        <f>VLOOKUP(B4880,辅助信息!E:I,4,FALSE)</f>
        <v>张扬</v>
      </c>
      <c r="K4880" s="120">
        <f>VLOOKUP(J4880,辅助信息!H:I,2,FALSE)</f>
        <v>18381904567</v>
      </c>
      <c r="L4880" s="122" t="str">
        <f>VLOOKUP(B4880,辅助信息!E:J,6,FALSE)</f>
        <v>控制炉批号！多了现场不收！,优先安排达钢,提前联系到场规格及数量</v>
      </c>
      <c r="M4880" s="91">
        <v>45948</v>
      </c>
      <c r="O4880" s="62">
        <f ca="1" t="shared" si="234"/>
        <v>0</v>
      </c>
      <c r="P4880" s="62">
        <f ca="1" t="shared" si="235"/>
        <v>12</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1" t="s">
        <v>112</v>
      </c>
      <c r="C4881" s="70">
        <v>45953</v>
      </c>
      <c r="D4881" s="120" t="str">
        <f>VLOOKUP(B4881,辅助信息!E:K,7,FALSE)</f>
        <v>JWDDCD2025052800131</v>
      </c>
      <c r="E4881" s="120" t="str">
        <f>VLOOKUP(F4881,辅助信息!A:B,2,FALSE)</f>
        <v>螺纹钢</v>
      </c>
      <c r="F4881" s="120" t="s">
        <v>21</v>
      </c>
      <c r="G4881" s="121">
        <v>9</v>
      </c>
      <c r="H4881" s="134">
        <f>IF(SUMIFS('[1]2025年已发货'!$E:$E,'[1]2025年已发货'!$F:$F,C4881,'[1]2025年已发货'!$C:$C,F4881,'[1]2025年已发货'!$G:$G,I4881,'[1]2025年已发货'!$H:$H,J4881)=0,"未发货",SUMIFS('[1]2025年已发货'!$E:$E,'[1]2025年已发货'!$F:$F,C4881,'[1]2025年已发货'!$C:$C,F4881,'[1]2025年已发货'!$G:$G,I4881,'[1]2025年已发货'!$H:$H,J4881))</f>
        <v>2.5</v>
      </c>
      <c r="I4881" s="156" t="str">
        <f>VLOOKUP(B4881,辅助信息!E:I,3,FALSE)</f>
        <v>（商投建工达州中医药科技园-4工区-10号楼）达州市通川区达州中医药职业学院犀牛大道北段</v>
      </c>
      <c r="J4881" s="120" t="str">
        <f>VLOOKUP(B4881,辅助信息!E:I,4,FALSE)</f>
        <v>张扬</v>
      </c>
      <c r="K4881" s="120">
        <f>VLOOKUP(J4881,辅助信息!H:I,2,FALSE)</f>
        <v>18381904567</v>
      </c>
      <c r="L4881" s="122" t="str">
        <f>VLOOKUP(B4881,辅助信息!E:J,6,FALSE)</f>
        <v>控制炉批号！多了现场不收！,优先安排达钢,提前联系到场规格及数量</v>
      </c>
      <c r="M4881" s="91">
        <v>45948</v>
      </c>
      <c r="O4881" s="62">
        <f ca="1" t="shared" si="234"/>
        <v>0</v>
      </c>
      <c r="P4881" s="62">
        <f ca="1" t="shared" si="235"/>
        <v>12</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1" t="s">
        <v>112</v>
      </c>
      <c r="C4882" s="70">
        <v>45953</v>
      </c>
      <c r="D4882" s="120" t="str">
        <f>VLOOKUP(B4882,辅助信息!E:K,7,FALSE)</f>
        <v>JWDDCD2025052800131</v>
      </c>
      <c r="E4882" s="120" t="str">
        <f>VLOOKUP(F4882,辅助信息!A:B,2,FALSE)</f>
        <v>螺纹钢</v>
      </c>
      <c r="F4882" s="120" t="s">
        <v>58</v>
      </c>
      <c r="G4882" s="121">
        <v>9</v>
      </c>
      <c r="H4882" s="134">
        <f>IF(SUMIFS('[1]2025年已发货'!$E:$E,'[1]2025年已发货'!$F:$F,C4882,'[1]2025年已发货'!$C:$C,F4882,'[1]2025年已发货'!$G:$G,I4882,'[1]2025年已发货'!$H:$H,J4882)=0,"未发货",SUMIFS('[1]2025年已发货'!$E:$E,'[1]2025年已发货'!$F:$F,C4882,'[1]2025年已发货'!$C:$C,F4882,'[1]2025年已发货'!$G:$G,I4882,'[1]2025年已发货'!$H:$H,J4882))</f>
        <v>7.5</v>
      </c>
      <c r="I4882" s="156" t="str">
        <f>VLOOKUP(B4882,辅助信息!E:I,3,FALSE)</f>
        <v>（商投建工达州中医药科技园-4工区-10号楼）达州市通川区达州中医药职业学院犀牛大道北段</v>
      </c>
      <c r="J4882" s="120" t="str">
        <f>VLOOKUP(B4882,辅助信息!E:I,4,FALSE)</f>
        <v>张扬</v>
      </c>
      <c r="K4882" s="120">
        <f>VLOOKUP(J4882,辅助信息!H:I,2,FALSE)</f>
        <v>18381904567</v>
      </c>
      <c r="L4882" s="122" t="str">
        <f>VLOOKUP(B4882,辅助信息!E:J,6,FALSE)</f>
        <v>控制炉批号！多了现场不收！,优先安排达钢,提前联系到场规格及数量</v>
      </c>
      <c r="M4882" s="91">
        <v>45948</v>
      </c>
      <c r="O4882" s="62">
        <f ca="1" t="shared" si="234"/>
        <v>0</v>
      </c>
      <c r="P4882" s="62">
        <f ca="1" t="shared" si="235"/>
        <v>12</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1" t="s">
        <v>112</v>
      </c>
      <c r="C4883" s="70">
        <v>45953</v>
      </c>
      <c r="D4883" s="120" t="str">
        <f>VLOOKUP(B4883,辅助信息!E:K,7,FALSE)</f>
        <v>JWDDCD2025052800131</v>
      </c>
      <c r="E4883" s="120" t="str">
        <f>VLOOKUP(F4883,辅助信息!A:B,2,FALSE)</f>
        <v>螺纹钢</v>
      </c>
      <c r="F4883" s="120" t="s">
        <v>22</v>
      </c>
      <c r="G4883" s="121">
        <v>9</v>
      </c>
      <c r="H4883" s="134">
        <f>IF(SUMIFS('[1]2025年已发货'!$E:$E,'[1]2025年已发货'!$F:$F,C4883,'[1]2025年已发货'!$C:$C,F4883,'[1]2025年已发货'!$G:$G,I4883,'[1]2025年已发货'!$H:$H,J4883)=0,"未发货",SUMIFS('[1]2025年已发货'!$E:$E,'[1]2025年已发货'!$F:$F,C4883,'[1]2025年已发货'!$C:$C,F4883,'[1]2025年已发货'!$G:$G,I4883,'[1]2025年已发货'!$H:$H,J4883))</f>
        <v>10</v>
      </c>
      <c r="I4883" s="156" t="str">
        <f>VLOOKUP(B4883,辅助信息!E:I,3,FALSE)</f>
        <v>（商投建工达州中医药科技园-4工区-10号楼）达州市通川区达州中医药职业学院犀牛大道北段</v>
      </c>
      <c r="J4883" s="120" t="str">
        <f>VLOOKUP(B4883,辅助信息!E:I,4,FALSE)</f>
        <v>张扬</v>
      </c>
      <c r="K4883" s="120">
        <f>VLOOKUP(J4883,辅助信息!H:I,2,FALSE)</f>
        <v>18381904567</v>
      </c>
      <c r="L4883" s="122" t="str">
        <f>VLOOKUP(B4883,辅助信息!E:J,6,FALSE)</f>
        <v>控制炉批号！多了现场不收！,优先安排达钢,提前联系到场规格及数量</v>
      </c>
      <c r="M4883" s="91">
        <v>45948</v>
      </c>
      <c r="O4883" s="62">
        <f ca="1" t="shared" si="234"/>
        <v>0</v>
      </c>
      <c r="P4883" s="62">
        <f ca="1" t="shared" si="235"/>
        <v>12</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1" t="s">
        <v>47</v>
      </c>
      <c r="C4884" s="70">
        <v>45953</v>
      </c>
      <c r="D4884" s="120" t="str">
        <f>VLOOKUP(B4884,辅助信息!E:K,7,FALSE)</f>
        <v>JWDDCD2025052800131</v>
      </c>
      <c r="E4884" s="120" t="str">
        <f>VLOOKUP(F4884,辅助信息!A:B,2,FALSE)</f>
        <v>高线</v>
      </c>
      <c r="F4884" s="120" t="s">
        <v>57</v>
      </c>
      <c r="G4884" s="121">
        <v>9</v>
      </c>
      <c r="H4884" s="134">
        <f>IF(SUMIFS('[1]2025年已发货'!$E:$E,'[1]2025年已发货'!$F:$F,C4884,'[1]2025年已发货'!$C:$C,F4884,'[1]2025年已发货'!$G:$G,I4884,'[1]2025年已发货'!$H:$H,J4884)=0,"未发货",SUMIFS('[1]2025年已发货'!$E:$E,'[1]2025年已发货'!$F:$F,C4884,'[1]2025年已发货'!$C:$C,F4884,'[1]2025年已发货'!$G:$G,I4884,'[1]2025年已发货'!$H:$H,J4884))</f>
        <v>7.5</v>
      </c>
      <c r="I4884" s="156" t="str">
        <f>VLOOKUP(B4884,辅助信息!E:I,3,FALSE)</f>
        <v>（商投建工达州中医药科技园-1工区）达州市通川区达州中医药职业学院犀牛大道北段</v>
      </c>
      <c r="J4884" s="120" t="str">
        <f>VLOOKUP(B4884,辅助信息!E:I,4,FALSE)</f>
        <v>程黄刚</v>
      </c>
      <c r="K4884" s="120">
        <f>VLOOKUP(J4884,辅助信息!H:I,2,FALSE)</f>
        <v>15108211617</v>
      </c>
      <c r="L4884" s="122" t="str">
        <f>VLOOKUP(B4884,辅助信息!E:J,6,FALSE)</f>
        <v>控制炉批号！多了现场不收！,优先安排达钢,提前联系到场规格及数量</v>
      </c>
      <c r="M4884" s="91">
        <v>45953</v>
      </c>
      <c r="O4884" s="62">
        <f ca="1" t="shared" si="234"/>
        <v>0</v>
      </c>
      <c r="P4884" s="62">
        <f ca="1" t="shared" si="235"/>
        <v>7</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1" t="s">
        <v>47</v>
      </c>
      <c r="C4885" s="70">
        <v>45953</v>
      </c>
      <c r="D4885" s="120" t="str">
        <f>VLOOKUP(B4885,辅助信息!E:K,7,FALSE)</f>
        <v>JWDDCD2025052800131</v>
      </c>
      <c r="E4885" s="120" t="str">
        <f>VLOOKUP(F4885,辅助信息!A:B,2,FALSE)</f>
        <v>盘螺</v>
      </c>
      <c r="F4885" s="120" t="s">
        <v>40</v>
      </c>
      <c r="G4885" s="121">
        <v>9</v>
      </c>
      <c r="H4885" s="134">
        <f>IF(SUMIFS('[1]2025年已发货'!$E:$E,'[1]2025年已发货'!$F:$F,C4885,'[1]2025年已发货'!$C:$C,F4885,'[1]2025年已发货'!$G:$G,I4885,'[1]2025年已发货'!$H:$H,J4885)=0,"未发货",SUMIFS('[1]2025年已发货'!$E:$E,'[1]2025年已发货'!$F:$F,C4885,'[1]2025年已发货'!$C:$C,F4885,'[1]2025年已发货'!$G:$G,I4885,'[1]2025年已发货'!$H:$H,J4885))</f>
        <v>24</v>
      </c>
      <c r="I4885" s="156" t="str">
        <f>VLOOKUP(B4885,辅助信息!E:I,3,FALSE)</f>
        <v>（商投建工达州中医药科技园-1工区）达州市通川区达州中医药职业学院犀牛大道北段</v>
      </c>
      <c r="J4885" s="120" t="str">
        <f>VLOOKUP(B4885,辅助信息!E:I,4,FALSE)</f>
        <v>程黄刚</v>
      </c>
      <c r="K4885" s="120">
        <f>VLOOKUP(J4885,辅助信息!H:I,2,FALSE)</f>
        <v>15108211617</v>
      </c>
      <c r="L4885" s="122" t="str">
        <f>VLOOKUP(B4885,辅助信息!E:J,6,FALSE)</f>
        <v>控制炉批号！多了现场不收！,优先安排达钢,提前联系到场规格及数量</v>
      </c>
      <c r="M4885" s="91">
        <v>45953</v>
      </c>
      <c r="O4885" s="62">
        <f ca="1" t="shared" si="234"/>
        <v>0</v>
      </c>
      <c r="P4885" s="62">
        <f ca="1" t="shared" si="235"/>
        <v>7</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1" t="s">
        <v>47</v>
      </c>
      <c r="C4886" s="70">
        <v>45953</v>
      </c>
      <c r="D4886" s="120" t="str">
        <f>VLOOKUP(B4886,辅助信息!E:K,7,FALSE)</f>
        <v>JWDDCD2025052800131</v>
      </c>
      <c r="E4886" s="120" t="str">
        <f>VLOOKUP(F4886,辅助信息!A:B,2,FALSE)</f>
        <v>螺纹钢</v>
      </c>
      <c r="F4886" s="120" t="s">
        <v>27</v>
      </c>
      <c r="G4886" s="121">
        <v>6</v>
      </c>
      <c r="H4886" s="134">
        <f>IF(SUMIFS('[1]2025年已发货'!$E:$E,'[1]2025年已发货'!$F:$F,C4886,'[1]2025年已发货'!$C:$C,F4886,'[1]2025年已发货'!$G:$G,I4886,'[1]2025年已发货'!$H:$H,J4886)=0,"未发货",SUMIFS('[1]2025年已发货'!$E:$E,'[1]2025年已发货'!$F:$F,C4886,'[1]2025年已发货'!$C:$C,F4886,'[1]2025年已发货'!$G:$G,I4886,'[1]2025年已发货'!$H:$H,J4886))</f>
        <v>5</v>
      </c>
      <c r="I4886" s="156" t="str">
        <f>VLOOKUP(B4886,辅助信息!E:I,3,FALSE)</f>
        <v>（商投建工达州中医药科技园-1工区）达州市通川区达州中医药职业学院犀牛大道北段</v>
      </c>
      <c r="J4886" s="120" t="str">
        <f>VLOOKUP(B4886,辅助信息!E:I,4,FALSE)</f>
        <v>程黄刚</v>
      </c>
      <c r="K4886" s="120">
        <f>VLOOKUP(J4886,辅助信息!H:I,2,FALSE)</f>
        <v>15108211617</v>
      </c>
      <c r="L4886" s="122" t="str">
        <f>VLOOKUP(B4886,辅助信息!E:J,6,FALSE)</f>
        <v>控制炉批号！多了现场不收！,优先安排达钢,提前联系到场规格及数量</v>
      </c>
      <c r="M4886" s="91"/>
      <c r="O4886" s="62" t="str">
        <f ca="1" t="shared" si="234"/>
        <v/>
      </c>
      <c r="P4886" s="62"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1" t="s">
        <v>47</v>
      </c>
      <c r="C4887" s="70">
        <v>45953</v>
      </c>
      <c r="D4887" s="120" t="str">
        <f>VLOOKUP(B4887,辅助信息!E:K,7,FALSE)</f>
        <v>JWDDCD2025052800131</v>
      </c>
      <c r="E4887" s="120" t="str">
        <f>VLOOKUP(F4887,辅助信息!A:B,2,FALSE)</f>
        <v>螺纹钢</v>
      </c>
      <c r="F4887" s="120" t="s">
        <v>33</v>
      </c>
      <c r="G4887" s="121">
        <v>12</v>
      </c>
      <c r="H4887" s="134">
        <f>IF(SUMIFS('[1]2025年已发货'!$E:$E,'[1]2025年已发货'!$F:$F,C4887,'[1]2025年已发货'!$C:$C,F4887,'[1]2025年已发货'!$G:$G,I4887,'[1]2025年已发货'!$H:$H,J4887)=0,"未发货",SUMIFS('[1]2025年已发货'!$E:$E,'[1]2025年已发货'!$F:$F,C4887,'[1]2025年已发货'!$C:$C,F4887,'[1]2025年已发货'!$G:$G,I4887,'[1]2025年已发货'!$H:$H,J4887))</f>
        <v>5</v>
      </c>
      <c r="I4887" s="156" t="str">
        <f>VLOOKUP(B4887,辅助信息!E:I,3,FALSE)</f>
        <v>（商投建工达州中医药科技园-1工区）达州市通川区达州中医药职业学院犀牛大道北段</v>
      </c>
      <c r="J4887" s="120" t="str">
        <f>VLOOKUP(B4887,辅助信息!E:I,4,FALSE)</f>
        <v>程黄刚</v>
      </c>
      <c r="K4887" s="120">
        <f>VLOOKUP(J4887,辅助信息!H:I,2,FALSE)</f>
        <v>15108211617</v>
      </c>
      <c r="L4887" s="122" t="str">
        <f>VLOOKUP(B4887,辅助信息!E:J,6,FALSE)</f>
        <v>控制炉批号！多了现场不收！,优先安排达钢,提前联系到场规格及数量</v>
      </c>
      <c r="M4887" s="91">
        <v>45953</v>
      </c>
      <c r="O4887" s="62">
        <f ca="1" t="shared" si="234"/>
        <v>0</v>
      </c>
      <c r="P4887" s="62">
        <f ca="1" t="shared" si="235"/>
        <v>7</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1" t="s">
        <v>163</v>
      </c>
      <c r="C4888" s="70">
        <v>45953</v>
      </c>
      <c r="D4888" s="120" t="str">
        <f>VLOOKUP(B4888,辅助信息!E:K,7,FALSE)</f>
        <v>JWDDCD2025052800131</v>
      </c>
      <c r="E4888" s="120" t="str">
        <f>VLOOKUP(F4888,辅助信息!A:B,2,FALSE)</f>
        <v>盘螺</v>
      </c>
      <c r="F4888" s="120" t="s">
        <v>49</v>
      </c>
      <c r="G4888" s="121">
        <v>18</v>
      </c>
      <c r="H4888" s="134">
        <f>IF(SUMIFS('[1]2025年已发货'!$E:$E,'[1]2025年已发货'!$F:$F,C4888,'[1]2025年已发货'!$C:$C,F4888,'[1]2025年已发货'!$G:$G,I4888,'[1]2025年已发货'!$H:$H,J4888)=0,"未发货",SUMIFS('[1]2025年已发货'!$E:$E,'[1]2025年已发货'!$F:$F,C4888,'[1]2025年已发货'!$C:$C,F4888,'[1]2025年已发货'!$G:$G,I4888,'[1]2025年已发货'!$H:$H,J4888))</f>
        <v>17.5</v>
      </c>
      <c r="I4888" s="156" t="str">
        <f>VLOOKUP(B4888,辅助信息!E:I,3,FALSE)</f>
        <v>（商投建工达州中医药科技园-4工区-9号楼）达州市通川区达州中医药职业学院犀牛大道北段</v>
      </c>
      <c r="J4888" s="120" t="str">
        <f>VLOOKUP(B4888,辅助信息!E:I,4,FALSE)</f>
        <v>张扬</v>
      </c>
      <c r="K4888" s="120">
        <f>VLOOKUP(J4888,辅助信息!H:I,2,FALSE)</f>
        <v>18381904567</v>
      </c>
      <c r="L4888" s="122" t="str">
        <f>VLOOKUP(B4888,辅助信息!E:J,6,FALSE)</f>
        <v>控制炉批号！多了现场不收！,优先安排达钢,提前联系到场规格及数量</v>
      </c>
      <c r="M4888" s="91">
        <v>45953</v>
      </c>
      <c r="O4888" s="62">
        <f ca="1" t="shared" si="234"/>
        <v>0</v>
      </c>
      <c r="P4888" s="62">
        <f ca="1" t="shared" si="235"/>
        <v>7</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1" t="s">
        <v>163</v>
      </c>
      <c r="C4889" s="70">
        <v>45953</v>
      </c>
      <c r="D4889" s="120" t="str">
        <f>VLOOKUP(B4889,辅助信息!E:K,7,FALSE)</f>
        <v>JWDDCD2025052800131</v>
      </c>
      <c r="E4889" s="120" t="str">
        <f>VLOOKUP(F4889,辅助信息!A:B,2,FALSE)</f>
        <v>盘螺</v>
      </c>
      <c r="F4889" s="120" t="s">
        <v>41</v>
      </c>
      <c r="G4889" s="121">
        <v>18</v>
      </c>
      <c r="H4889" s="134">
        <f>IF(SUMIFS('[1]2025年已发货'!$E:$E,'[1]2025年已发货'!$F:$F,C4889,'[1]2025年已发货'!$C:$C,F4889,'[1]2025年已发货'!$G:$G,I4889,'[1]2025年已发货'!$H:$H,J4889)=0,"未发货",SUMIFS('[1]2025年已发货'!$E:$E,'[1]2025年已发货'!$F:$F,C4889,'[1]2025年已发货'!$C:$C,F4889,'[1]2025年已发货'!$G:$G,I4889,'[1]2025年已发货'!$H:$H,J4889))</f>
        <v>17.5</v>
      </c>
      <c r="I4889" s="156" t="str">
        <f>VLOOKUP(B4889,辅助信息!E:I,3,FALSE)</f>
        <v>（商投建工达州中医药科技园-4工区-9号楼）达州市通川区达州中医药职业学院犀牛大道北段</v>
      </c>
      <c r="J4889" s="120" t="str">
        <f>VLOOKUP(B4889,辅助信息!E:I,4,FALSE)</f>
        <v>张扬</v>
      </c>
      <c r="K4889" s="120">
        <f>VLOOKUP(J4889,辅助信息!H:I,2,FALSE)</f>
        <v>18381904567</v>
      </c>
      <c r="L4889" s="122" t="str">
        <f>VLOOKUP(B4889,辅助信息!E:J,6,FALSE)</f>
        <v>控制炉批号！多了现场不收！,优先安排达钢,提前联系到场规格及数量</v>
      </c>
      <c r="M4889" s="91">
        <v>45953</v>
      </c>
      <c r="O4889" s="62">
        <f ca="1" t="shared" si="234"/>
        <v>0</v>
      </c>
      <c r="P4889" s="62">
        <f ca="1" t="shared" si="235"/>
        <v>7</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5" t="s">
        <v>229</v>
      </c>
      <c r="C4890" s="70">
        <v>45953</v>
      </c>
      <c r="D4890" s="40" t="str">
        <f>VLOOKUP(B4890,辅助信息!E:K,7,FALSE)</f>
        <v>JWDDCD2025092400212</v>
      </c>
      <c r="E4890" s="40" t="str">
        <f>VLOOKUP(F4890,辅助信息!A:B,2,FALSE)</f>
        <v>高线</v>
      </c>
      <c r="F4890" s="40" t="s">
        <v>57</v>
      </c>
      <c r="G4890" s="36">
        <v>2</v>
      </c>
      <c r="H4890" s="134"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09">
        <f>VLOOKUP(B4890,辅助信息!E:J,6,FALSE)</f>
        <v>0</v>
      </c>
      <c r="M4890" s="91">
        <v>45950</v>
      </c>
      <c r="O4890" s="62">
        <f ca="1" t="shared" si="234"/>
        <v>0</v>
      </c>
      <c r="P4890" s="62">
        <f ca="1" t="shared" si="235"/>
        <v>10</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5" t="s">
        <v>229</v>
      </c>
      <c r="C4891" s="70">
        <v>45953</v>
      </c>
      <c r="D4891" s="40" t="str">
        <f>VLOOKUP(B4891,辅助信息!E:K,7,FALSE)</f>
        <v>JWDDCD2025092400212</v>
      </c>
      <c r="E4891" s="40" t="str">
        <f>VLOOKUP(F4891,辅助信息!A:B,2,FALSE)</f>
        <v>高线</v>
      </c>
      <c r="F4891" s="40" t="s">
        <v>53</v>
      </c>
      <c r="G4891" s="36">
        <v>2</v>
      </c>
      <c r="H4891" s="134"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09">
        <f>VLOOKUP(B4891,辅助信息!E:J,6,FALSE)</f>
        <v>0</v>
      </c>
      <c r="M4891" s="91">
        <v>45950</v>
      </c>
      <c r="O4891" s="62">
        <f ca="1" t="shared" si="234"/>
        <v>0</v>
      </c>
      <c r="P4891" s="62">
        <f ca="1" t="shared" si="235"/>
        <v>10</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5" t="s">
        <v>229</v>
      </c>
      <c r="C4892" s="70">
        <v>45953</v>
      </c>
      <c r="D4892" s="40" t="str">
        <f>VLOOKUP(B4892,辅助信息!E:K,7,FALSE)</f>
        <v>JWDDCD2025092400212</v>
      </c>
      <c r="E4892" s="40" t="str">
        <f>VLOOKUP(F4892,辅助信息!A:B,2,FALSE)</f>
        <v>盘螺</v>
      </c>
      <c r="F4892" s="40" t="s">
        <v>49</v>
      </c>
      <c r="G4892" s="36">
        <v>2</v>
      </c>
      <c r="H4892" s="134"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09">
        <f>VLOOKUP(B4892,辅助信息!E:J,6,FALSE)</f>
        <v>0</v>
      </c>
      <c r="M4892" s="91">
        <v>45950</v>
      </c>
      <c r="O4892" s="62">
        <f ca="1" t="shared" si="234"/>
        <v>0</v>
      </c>
      <c r="P4892" s="62">
        <f ca="1" t="shared" si="235"/>
        <v>10</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5" t="s">
        <v>229</v>
      </c>
      <c r="C4893" s="70">
        <v>45953</v>
      </c>
      <c r="D4893" s="40" t="str">
        <f>VLOOKUP(B4893,辅助信息!E:K,7,FALSE)</f>
        <v>JWDDCD2025092400212</v>
      </c>
      <c r="E4893" s="40" t="str">
        <f>VLOOKUP(F4893,辅助信息!A:B,2,FALSE)</f>
        <v>盘螺</v>
      </c>
      <c r="F4893" s="40" t="s">
        <v>40</v>
      </c>
      <c r="G4893" s="36">
        <v>8</v>
      </c>
      <c r="H4893" s="134"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09">
        <f>VLOOKUP(B4893,辅助信息!E:J,6,FALSE)</f>
        <v>0</v>
      </c>
      <c r="M4893" s="91">
        <v>45950</v>
      </c>
      <c r="O4893" s="62">
        <f ca="1" t="shared" si="234"/>
        <v>0</v>
      </c>
      <c r="P4893" s="62">
        <f ca="1" t="shared" si="235"/>
        <v>10</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5" t="s">
        <v>229</v>
      </c>
      <c r="C4894" s="70">
        <v>45953</v>
      </c>
      <c r="D4894" s="40" t="str">
        <f>VLOOKUP(B4894,辅助信息!E:K,7,FALSE)</f>
        <v>JWDDCD2025092400212</v>
      </c>
      <c r="E4894" s="40" t="str">
        <f>VLOOKUP(F4894,辅助信息!A:B,2,FALSE)</f>
        <v>盘螺</v>
      </c>
      <c r="F4894" s="40" t="s">
        <v>41</v>
      </c>
      <c r="G4894" s="36">
        <v>20</v>
      </c>
      <c r="H4894" s="134"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09">
        <f>VLOOKUP(B4894,辅助信息!E:J,6,FALSE)</f>
        <v>0</v>
      </c>
      <c r="M4894" s="91">
        <v>45950</v>
      </c>
      <c r="O4894" s="62">
        <f ca="1" t="shared" si="234"/>
        <v>0</v>
      </c>
      <c r="P4894" s="62">
        <f ca="1" t="shared" si="235"/>
        <v>10</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5" t="s">
        <v>229</v>
      </c>
      <c r="C4895" s="70">
        <v>45953</v>
      </c>
      <c r="D4895" s="40" t="str">
        <f>VLOOKUP(B4895,辅助信息!E:K,7,FALSE)</f>
        <v>JWDDCD2025092400212</v>
      </c>
      <c r="E4895" s="40" t="str">
        <f>VLOOKUP(F4895,辅助信息!A:B,2,FALSE)</f>
        <v>螺纹钢</v>
      </c>
      <c r="F4895" s="40" t="s">
        <v>27</v>
      </c>
      <c r="G4895" s="36">
        <v>30</v>
      </c>
      <c r="H4895" s="134"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09">
        <f>VLOOKUP(B4895,辅助信息!E:J,6,FALSE)</f>
        <v>0</v>
      </c>
      <c r="M4895" s="91">
        <v>45950</v>
      </c>
      <c r="O4895" s="62">
        <f ca="1" t="shared" si="234"/>
        <v>0</v>
      </c>
      <c r="P4895" s="62">
        <f ca="1" t="shared" si="235"/>
        <v>10</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5" t="s">
        <v>229</v>
      </c>
      <c r="C4896" s="70">
        <v>45953</v>
      </c>
      <c r="D4896" s="40" t="str">
        <f>VLOOKUP(B4896,辅助信息!E:K,7,FALSE)</f>
        <v>JWDDCD2025092400212</v>
      </c>
      <c r="E4896" s="40" t="str">
        <f>VLOOKUP(F4896,辅助信息!A:B,2,FALSE)</f>
        <v>盘螺</v>
      </c>
      <c r="F4896" s="40" t="s">
        <v>49</v>
      </c>
      <c r="G4896" s="36">
        <v>6</v>
      </c>
      <c r="H4896" s="134"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09">
        <f>VLOOKUP(B4896,辅助信息!E:J,6,FALSE)</f>
        <v>0</v>
      </c>
      <c r="M4896" s="91">
        <v>45950</v>
      </c>
      <c r="O4896" s="62">
        <f ca="1" t="shared" si="234"/>
        <v>0</v>
      </c>
      <c r="P4896" s="62">
        <f ca="1" t="shared" si="235"/>
        <v>10</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5" t="s">
        <v>229</v>
      </c>
      <c r="C4897" s="70">
        <v>45953</v>
      </c>
      <c r="D4897" s="40" t="str">
        <f>VLOOKUP(B4897,辅助信息!E:K,7,FALSE)</f>
        <v>JWDDCD2025092400212</v>
      </c>
      <c r="E4897" s="40" t="str">
        <f>VLOOKUP(F4897,辅助信息!A:B,2,FALSE)</f>
        <v>盘螺</v>
      </c>
      <c r="F4897" s="40" t="s">
        <v>40</v>
      </c>
      <c r="G4897" s="36">
        <v>20</v>
      </c>
      <c r="H4897" s="134"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09">
        <f>VLOOKUP(B4897,辅助信息!E:J,6,FALSE)</f>
        <v>0</v>
      </c>
      <c r="M4897" s="91">
        <v>45950</v>
      </c>
      <c r="O4897" s="62">
        <f ca="1" t="shared" si="234"/>
        <v>0</v>
      </c>
      <c r="P4897" s="62">
        <f ca="1" t="shared" si="235"/>
        <v>10</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5" t="s">
        <v>229</v>
      </c>
      <c r="C4898" s="70">
        <v>45953</v>
      </c>
      <c r="D4898" s="40" t="str">
        <f>VLOOKUP(B4898,辅助信息!E:K,7,FALSE)</f>
        <v>JWDDCD2025092400212</v>
      </c>
      <c r="E4898" s="40" t="str">
        <f>VLOOKUP(F4898,辅助信息!A:B,2,FALSE)</f>
        <v>盘螺</v>
      </c>
      <c r="F4898" s="40" t="s">
        <v>41</v>
      </c>
      <c r="G4898" s="36">
        <v>40</v>
      </c>
      <c r="H4898" s="134"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09">
        <f>VLOOKUP(B4898,辅助信息!E:J,6,FALSE)</f>
        <v>0</v>
      </c>
      <c r="M4898" s="91">
        <v>45950</v>
      </c>
      <c r="O4898" s="62">
        <f ca="1" t="shared" si="234"/>
        <v>0</v>
      </c>
      <c r="P4898" s="62">
        <f ca="1" t="shared" si="235"/>
        <v>10</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5" t="s">
        <v>229</v>
      </c>
      <c r="C4899" s="70">
        <v>45953</v>
      </c>
      <c r="D4899" s="40" t="str">
        <f>VLOOKUP(B4899,辅助信息!E:K,7,FALSE)</f>
        <v>JWDDCD2025092400212</v>
      </c>
      <c r="E4899" s="40" t="str">
        <f>VLOOKUP(F4899,辅助信息!A:B,2,FALSE)</f>
        <v>螺纹钢</v>
      </c>
      <c r="F4899" s="40" t="s">
        <v>27</v>
      </c>
      <c r="G4899" s="36">
        <v>57</v>
      </c>
      <c r="H4899" s="134"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09">
        <f>VLOOKUP(B4899,辅助信息!E:J,6,FALSE)</f>
        <v>0</v>
      </c>
      <c r="M4899" s="91">
        <v>45950</v>
      </c>
      <c r="O4899" s="62">
        <f ca="1" t="shared" si="234"/>
        <v>0</v>
      </c>
      <c r="P4899" s="62">
        <f ca="1" t="shared" si="235"/>
        <v>10</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5" t="s">
        <v>229</v>
      </c>
      <c r="C4900" s="70">
        <v>45953</v>
      </c>
      <c r="D4900" s="40" t="str">
        <f>VLOOKUP(B4900,辅助信息!E:K,7,FALSE)</f>
        <v>JWDDCD2025092400212</v>
      </c>
      <c r="E4900" s="40" t="str">
        <f>VLOOKUP(F4900,辅助信息!A:B,2,FALSE)</f>
        <v>螺纹钢</v>
      </c>
      <c r="F4900" s="40" t="s">
        <v>19</v>
      </c>
      <c r="G4900" s="36">
        <v>9</v>
      </c>
      <c r="H4900" s="134"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09">
        <f>VLOOKUP(B4900,辅助信息!E:J,6,FALSE)</f>
        <v>0</v>
      </c>
      <c r="M4900" s="91">
        <v>45950</v>
      </c>
      <c r="O4900" s="62">
        <f ca="1" t="shared" ref="O4900:O4963" si="236">IF(OR(M4900="",N4900&lt;&gt;""),"",MAX(M4900-TODAY(),0))</f>
        <v>0</v>
      </c>
      <c r="P4900" s="62">
        <f ca="1" t="shared" ref="P4900:P4963" si="237">IF(M4900="","",IF(N4900&lt;&gt;"",MAX(N4900-M4900,0),IF(TODAY()&gt;M4900,TODAY()-M4900,0)))</f>
        <v>10</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5" t="s">
        <v>229</v>
      </c>
      <c r="C4901" s="70">
        <v>45953</v>
      </c>
      <c r="D4901" s="40" t="str">
        <f>VLOOKUP(B4901,辅助信息!E:K,7,FALSE)</f>
        <v>JWDDCD2025092400212</v>
      </c>
      <c r="E4901" s="40" t="str">
        <f>VLOOKUP(F4901,辅助信息!A:B,2,FALSE)</f>
        <v>螺纹钢</v>
      </c>
      <c r="F4901" s="40" t="s">
        <v>32</v>
      </c>
      <c r="G4901" s="36">
        <v>6</v>
      </c>
      <c r="H4901" s="134"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09">
        <f>VLOOKUP(B4901,辅助信息!E:J,6,FALSE)</f>
        <v>0</v>
      </c>
      <c r="M4901" s="91">
        <v>45950</v>
      </c>
      <c r="O4901" s="62">
        <f ca="1" t="shared" si="236"/>
        <v>0</v>
      </c>
      <c r="P4901" s="62">
        <f ca="1" t="shared" si="237"/>
        <v>10</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5" t="s">
        <v>229</v>
      </c>
      <c r="C4902" s="70">
        <v>45953</v>
      </c>
      <c r="D4902" s="40" t="str">
        <f>VLOOKUP(B4902,辅助信息!E:K,7,FALSE)</f>
        <v>JWDDCD2025092400212</v>
      </c>
      <c r="E4902" s="40" t="str">
        <f>VLOOKUP(F4902,辅助信息!A:B,2,FALSE)</f>
        <v>螺纹钢</v>
      </c>
      <c r="F4902" s="40" t="s">
        <v>30</v>
      </c>
      <c r="G4902" s="36">
        <v>9</v>
      </c>
      <c r="H4902" s="134"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09">
        <f>VLOOKUP(B4902,辅助信息!E:J,6,FALSE)</f>
        <v>0</v>
      </c>
      <c r="M4902" s="91">
        <v>45950</v>
      </c>
      <c r="O4902" s="62">
        <f ca="1" t="shared" si="236"/>
        <v>0</v>
      </c>
      <c r="P4902" s="62">
        <f ca="1" t="shared" si="237"/>
        <v>10</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5" t="s">
        <v>229</v>
      </c>
      <c r="C4903" s="70">
        <v>45953</v>
      </c>
      <c r="D4903" s="40" t="str">
        <f>VLOOKUP(B4903,辅助信息!E:K,7,FALSE)</f>
        <v>JWDDCD2025092400212</v>
      </c>
      <c r="E4903" s="40" t="str">
        <f>VLOOKUP(F4903,辅助信息!A:B,2,FALSE)</f>
        <v>螺纹钢</v>
      </c>
      <c r="F4903" s="40" t="s">
        <v>18</v>
      </c>
      <c r="G4903" s="36">
        <v>6</v>
      </c>
      <c r="H4903" s="134"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09">
        <f>VLOOKUP(B4903,辅助信息!E:J,6,FALSE)</f>
        <v>0</v>
      </c>
      <c r="M4903" s="91">
        <v>45950</v>
      </c>
      <c r="O4903" s="62">
        <f ca="1" t="shared" si="236"/>
        <v>0</v>
      </c>
      <c r="P4903" s="62">
        <f ca="1" t="shared" si="237"/>
        <v>10</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5" t="s">
        <v>229</v>
      </c>
      <c r="C4904" s="70">
        <v>45953</v>
      </c>
      <c r="D4904" s="40" t="str">
        <f>VLOOKUP(B4904,辅助信息!E:K,7,FALSE)</f>
        <v>JWDDCD2025092400212</v>
      </c>
      <c r="E4904" s="40" t="str">
        <f>VLOOKUP(F4904,辅助信息!A:B,2,FALSE)</f>
        <v>螺纹钢</v>
      </c>
      <c r="F4904" s="40" t="s">
        <v>66</v>
      </c>
      <c r="G4904" s="36">
        <v>6</v>
      </c>
      <c r="H4904" s="134"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09">
        <f>VLOOKUP(B4904,辅助信息!E:J,6,FALSE)</f>
        <v>0</v>
      </c>
      <c r="M4904" s="91">
        <v>45950</v>
      </c>
      <c r="O4904" s="62">
        <f ca="1" t="shared" si="236"/>
        <v>0</v>
      </c>
      <c r="P4904" s="62">
        <f ca="1" t="shared" si="237"/>
        <v>10</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5" t="s">
        <v>229</v>
      </c>
      <c r="C4905" s="70">
        <v>45953</v>
      </c>
      <c r="D4905" s="40" t="str">
        <f>VLOOKUP(B4905,辅助信息!E:K,7,FALSE)</f>
        <v>JWDDCD2025092400212</v>
      </c>
      <c r="E4905" s="40" t="str">
        <f>VLOOKUP(F4905,辅助信息!A:B,2,FALSE)</f>
        <v>螺纹钢</v>
      </c>
      <c r="F4905" s="40" t="s">
        <v>58</v>
      </c>
      <c r="G4905" s="36">
        <v>6</v>
      </c>
      <c r="H4905" s="134"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09">
        <f>VLOOKUP(B4905,辅助信息!E:J,6,FALSE)</f>
        <v>0</v>
      </c>
      <c r="M4905" s="91">
        <v>45950</v>
      </c>
      <c r="O4905" s="62">
        <f ca="1" t="shared" si="236"/>
        <v>0</v>
      </c>
      <c r="P4905" s="62">
        <f ca="1" t="shared" si="237"/>
        <v>10</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5" t="s">
        <v>229</v>
      </c>
      <c r="C4906" s="70">
        <v>45953</v>
      </c>
      <c r="D4906" s="40" t="str">
        <f>VLOOKUP(B4906,辅助信息!E:K,7,FALSE)</f>
        <v>JWDDCD2025092400212</v>
      </c>
      <c r="E4906" s="40" t="str">
        <f>VLOOKUP(F4906,辅助信息!A:B,2,FALSE)</f>
        <v>螺纹钢</v>
      </c>
      <c r="F4906" s="40" t="s">
        <v>46</v>
      </c>
      <c r="G4906" s="36">
        <v>9</v>
      </c>
      <c r="H4906" s="134"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09">
        <f>VLOOKUP(B4906,辅助信息!E:J,6,FALSE)</f>
        <v>0</v>
      </c>
      <c r="M4906" s="91">
        <v>45950</v>
      </c>
      <c r="O4906" s="62">
        <f ca="1" t="shared" si="236"/>
        <v>0</v>
      </c>
      <c r="P4906" s="62">
        <f ca="1" t="shared" si="237"/>
        <v>10</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5" t="s">
        <v>229</v>
      </c>
      <c r="C4907" s="70">
        <v>45953</v>
      </c>
      <c r="D4907" s="40" t="str">
        <f>VLOOKUP(B4907,辅助信息!E:K,7,FALSE)</f>
        <v>JWDDCD2025092400212</v>
      </c>
      <c r="E4907" s="40" t="str">
        <f>VLOOKUP(F4907,辅助信息!A:B,2,FALSE)</f>
        <v>螺纹钢</v>
      </c>
      <c r="F4907" s="40" t="s">
        <v>22</v>
      </c>
      <c r="G4907" s="36">
        <v>21</v>
      </c>
      <c r="H4907" s="134"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09">
        <f>VLOOKUP(B4907,辅助信息!E:J,6,FALSE)</f>
        <v>0</v>
      </c>
      <c r="M4907" s="91">
        <v>45950</v>
      </c>
      <c r="O4907" s="62">
        <f ca="1" t="shared" si="236"/>
        <v>0</v>
      </c>
      <c r="P4907" s="62">
        <f ca="1" t="shared" si="237"/>
        <v>10</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5" t="s">
        <v>228</v>
      </c>
      <c r="C4908" s="70">
        <v>45953</v>
      </c>
      <c r="D4908" s="40" t="str">
        <f>VLOOKUP(B4908,辅助信息!E:K,7,FALSE)</f>
        <v>JWDDCD2025092400190</v>
      </c>
      <c r="E4908" s="40" t="str">
        <f>VLOOKUP(F4908,辅助信息!A:B,2,FALSE)</f>
        <v>高线</v>
      </c>
      <c r="F4908" s="40" t="s">
        <v>53</v>
      </c>
      <c r="G4908" s="36">
        <v>2</v>
      </c>
      <c r="H4908" s="134"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09">
        <f>VLOOKUP(B4908,辅助信息!E:J,6,FALSE)</f>
        <v>0</v>
      </c>
      <c r="M4908" s="91">
        <v>45953</v>
      </c>
      <c r="O4908" s="62">
        <f ca="1" t="shared" si="236"/>
        <v>0</v>
      </c>
      <c r="P4908" s="62">
        <f ca="1" t="shared" si="237"/>
        <v>7</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5" t="s">
        <v>228</v>
      </c>
      <c r="C4909" s="70">
        <v>45953</v>
      </c>
      <c r="D4909" s="40" t="str">
        <f>VLOOKUP(B4909,辅助信息!E:K,7,FALSE)</f>
        <v>JWDDCD2025092400190</v>
      </c>
      <c r="E4909" s="40" t="str">
        <f>VLOOKUP(F4909,辅助信息!A:B,2,FALSE)</f>
        <v>盘螺</v>
      </c>
      <c r="F4909" s="40" t="s">
        <v>40</v>
      </c>
      <c r="G4909" s="36">
        <v>35</v>
      </c>
      <c r="H4909" s="134"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09">
        <f>VLOOKUP(B4909,辅助信息!E:J,6,FALSE)</f>
        <v>0</v>
      </c>
      <c r="M4909" s="91">
        <v>45953</v>
      </c>
      <c r="O4909" s="62">
        <f ca="1" t="shared" si="236"/>
        <v>0</v>
      </c>
      <c r="P4909" s="62">
        <f ca="1" t="shared" si="237"/>
        <v>7</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5" t="s">
        <v>228</v>
      </c>
      <c r="C4910" s="70">
        <v>45953</v>
      </c>
      <c r="D4910" s="40" t="str">
        <f>VLOOKUP(B4910,辅助信息!E:K,7,FALSE)</f>
        <v>JWDDCD2025092400190</v>
      </c>
      <c r="E4910" s="40" t="str">
        <f>VLOOKUP(F4910,辅助信息!A:B,2,FALSE)</f>
        <v>螺纹钢</v>
      </c>
      <c r="F4910" s="40" t="s">
        <v>27</v>
      </c>
      <c r="G4910" s="36">
        <v>35</v>
      </c>
      <c r="H4910" s="134"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09">
        <f>VLOOKUP(B4910,辅助信息!E:J,6,FALSE)</f>
        <v>0</v>
      </c>
      <c r="M4910" s="91">
        <v>45953</v>
      </c>
      <c r="O4910" s="62">
        <f ca="1" t="shared" si="236"/>
        <v>0</v>
      </c>
      <c r="P4910" s="62">
        <f ca="1" t="shared" si="237"/>
        <v>7</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5" t="s">
        <v>228</v>
      </c>
      <c r="C4911" s="70">
        <v>45953</v>
      </c>
      <c r="D4911" s="40" t="str">
        <f>VLOOKUP(B4911,辅助信息!E:K,7,FALSE)</f>
        <v>JWDDCD2025092400190</v>
      </c>
      <c r="E4911" s="40" t="str">
        <f>VLOOKUP(F4911,辅助信息!A:B,2,FALSE)</f>
        <v>螺纹钢</v>
      </c>
      <c r="F4911" s="40" t="s">
        <v>19</v>
      </c>
      <c r="G4911" s="36">
        <v>15</v>
      </c>
      <c r="H4911" s="134"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09">
        <f>VLOOKUP(B4911,辅助信息!E:J,6,FALSE)</f>
        <v>0</v>
      </c>
      <c r="M4911" s="91">
        <v>45953</v>
      </c>
      <c r="O4911" s="62">
        <f ca="1" t="shared" si="236"/>
        <v>0</v>
      </c>
      <c r="P4911" s="62">
        <f ca="1" t="shared" si="237"/>
        <v>7</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5" t="s">
        <v>228</v>
      </c>
      <c r="C4912" s="70">
        <v>45953</v>
      </c>
      <c r="D4912" s="40" t="str">
        <f>VLOOKUP(B4912,辅助信息!E:K,7,FALSE)</f>
        <v>JWDDCD2025092400190</v>
      </c>
      <c r="E4912" s="40" t="str">
        <f>VLOOKUP(F4912,辅助信息!A:B,2,FALSE)</f>
        <v>螺纹钢</v>
      </c>
      <c r="F4912" s="40" t="s">
        <v>32</v>
      </c>
      <c r="G4912" s="36">
        <v>35</v>
      </c>
      <c r="H4912" s="134"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09">
        <f>VLOOKUP(B4912,辅助信息!E:J,6,FALSE)</f>
        <v>0</v>
      </c>
      <c r="M4912" s="91">
        <v>45953</v>
      </c>
      <c r="O4912" s="62">
        <f ca="1" t="shared" si="236"/>
        <v>0</v>
      </c>
      <c r="P4912" s="62">
        <f ca="1" t="shared" si="237"/>
        <v>7</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5" t="s">
        <v>228</v>
      </c>
      <c r="C4913" s="70">
        <v>45953</v>
      </c>
      <c r="D4913" s="40" t="str">
        <f>VLOOKUP(B4913,辅助信息!E:K,7,FALSE)</f>
        <v>JWDDCD2025092400190</v>
      </c>
      <c r="E4913" s="40" t="str">
        <f>VLOOKUP(F4913,辅助信息!A:B,2,FALSE)</f>
        <v>螺纹钢</v>
      </c>
      <c r="F4913" s="40" t="s">
        <v>30</v>
      </c>
      <c r="G4913" s="36">
        <v>10</v>
      </c>
      <c r="H4913" s="134"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09">
        <f>VLOOKUP(B4913,辅助信息!E:J,6,FALSE)</f>
        <v>0</v>
      </c>
      <c r="M4913" s="91">
        <v>45953</v>
      </c>
      <c r="O4913" s="62">
        <f ca="1" t="shared" si="236"/>
        <v>0</v>
      </c>
      <c r="P4913" s="62">
        <f ca="1" t="shared" si="237"/>
        <v>7</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5" t="s">
        <v>228</v>
      </c>
      <c r="C4914" s="70">
        <v>45953</v>
      </c>
      <c r="D4914" s="40" t="str">
        <f>VLOOKUP(B4914,辅助信息!E:K,7,FALSE)</f>
        <v>JWDDCD2025092400190</v>
      </c>
      <c r="E4914" s="40" t="str">
        <f>VLOOKUP(F4914,辅助信息!A:B,2,FALSE)</f>
        <v>螺纹钢</v>
      </c>
      <c r="F4914" s="40" t="s">
        <v>33</v>
      </c>
      <c r="G4914" s="36">
        <v>12.5</v>
      </c>
      <c r="H4914" s="134"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09">
        <f>VLOOKUP(B4914,辅助信息!E:J,6,FALSE)</f>
        <v>0</v>
      </c>
      <c r="M4914" s="91">
        <v>45953</v>
      </c>
      <c r="O4914" s="62">
        <f ca="1" t="shared" si="236"/>
        <v>0</v>
      </c>
      <c r="P4914" s="62">
        <f ca="1" t="shared" si="237"/>
        <v>7</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5" t="s">
        <v>228</v>
      </c>
      <c r="C4915" s="70">
        <v>45953</v>
      </c>
      <c r="D4915" s="40" t="str">
        <f>VLOOKUP(B4915,辅助信息!E:K,7,FALSE)</f>
        <v>JWDDCD2025092400190</v>
      </c>
      <c r="E4915" s="40" t="str">
        <f>VLOOKUP(F4915,辅助信息!A:B,2,FALSE)</f>
        <v>螺纹钢</v>
      </c>
      <c r="F4915" s="40" t="s">
        <v>28</v>
      </c>
      <c r="G4915" s="36">
        <v>15</v>
      </c>
      <c r="H4915" s="134"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09">
        <f>VLOOKUP(B4915,辅助信息!E:J,6,FALSE)</f>
        <v>0</v>
      </c>
      <c r="M4915" s="91">
        <v>45953</v>
      </c>
      <c r="O4915" s="62">
        <f ca="1" t="shared" si="236"/>
        <v>0</v>
      </c>
      <c r="P4915" s="62">
        <f ca="1" t="shared" si="237"/>
        <v>7</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5" t="s">
        <v>228</v>
      </c>
      <c r="C4916" s="70">
        <v>45953</v>
      </c>
      <c r="D4916" s="40" t="str">
        <f>VLOOKUP(B4916,辅助信息!E:K,7,FALSE)</f>
        <v>JWDDCD2025092400190</v>
      </c>
      <c r="E4916" s="40" t="str">
        <f>VLOOKUP(F4916,辅助信息!A:B,2,FALSE)</f>
        <v>螺纹钢</v>
      </c>
      <c r="F4916" s="40" t="s">
        <v>18</v>
      </c>
      <c r="G4916" s="36">
        <v>15</v>
      </c>
      <c r="H4916" s="134"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09">
        <f>VLOOKUP(B4916,辅助信息!E:J,6,FALSE)</f>
        <v>0</v>
      </c>
      <c r="M4916" s="91">
        <v>45953</v>
      </c>
      <c r="O4916" s="62">
        <f ca="1" t="shared" si="236"/>
        <v>0</v>
      </c>
      <c r="P4916" s="62">
        <f ca="1" t="shared" si="237"/>
        <v>7</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5" t="s">
        <v>232</v>
      </c>
      <c r="C4917" s="104">
        <v>45954</v>
      </c>
      <c r="D4917" s="40" t="str">
        <f>VLOOKUP(B4917,辅助信息!E:K,7,FALSE)</f>
        <v>JWDDCD2025052800131</v>
      </c>
      <c r="E4917" s="40" t="str">
        <f>VLOOKUP(F4917,辅助信息!A:B,2,FALSE)</f>
        <v>盘螺</v>
      </c>
      <c r="F4917" s="40" t="s">
        <v>40</v>
      </c>
      <c r="G4917" s="36">
        <v>10</v>
      </c>
      <c r="H4917" s="134">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09" t="str">
        <f>VLOOKUP(B4917,辅助信息!E:J,6,FALSE)</f>
        <v>控制炉批号！多了现场不收！,优先安排达钢,提前联系到场规格及数量</v>
      </c>
      <c r="M4917" s="91">
        <v>45953</v>
      </c>
      <c r="O4917" s="62">
        <f ca="1" t="shared" si="236"/>
        <v>0</v>
      </c>
      <c r="P4917" s="62">
        <f ca="1" t="shared" si="237"/>
        <v>7</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5" t="s">
        <v>232</v>
      </c>
      <c r="C4918" s="104">
        <v>45954</v>
      </c>
      <c r="D4918" s="40" t="str">
        <f>VLOOKUP(B4918,辅助信息!E:K,7,FALSE)</f>
        <v>JWDDCD2025052800131</v>
      </c>
      <c r="E4918" s="40" t="str">
        <f>VLOOKUP(F4918,辅助信息!A:B,2,FALSE)</f>
        <v>盘螺</v>
      </c>
      <c r="F4918" s="40" t="s">
        <v>41</v>
      </c>
      <c r="G4918" s="36">
        <v>10</v>
      </c>
      <c r="H4918" s="134">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09" t="str">
        <f>VLOOKUP(B4918,辅助信息!E:J,6,FALSE)</f>
        <v>控制炉批号！多了现场不收！,优先安排达钢,提前联系到场规格及数量</v>
      </c>
      <c r="M4918" s="91">
        <v>45953</v>
      </c>
      <c r="O4918" s="62">
        <f ca="1" t="shared" si="236"/>
        <v>0</v>
      </c>
      <c r="P4918" s="62">
        <f ca="1" t="shared" si="237"/>
        <v>7</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5" t="s">
        <v>232</v>
      </c>
      <c r="C4919" s="104">
        <v>45954</v>
      </c>
      <c r="D4919" s="40" t="str">
        <f>VLOOKUP(B4919,辅助信息!E:K,7,FALSE)</f>
        <v>JWDDCD2025052800131</v>
      </c>
      <c r="E4919" s="40" t="str">
        <f>VLOOKUP(F4919,辅助信息!A:B,2,FALSE)</f>
        <v>螺纹钢</v>
      </c>
      <c r="F4919" s="40" t="s">
        <v>27</v>
      </c>
      <c r="G4919" s="36">
        <v>30</v>
      </c>
      <c r="H4919" s="134">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09" t="str">
        <f>VLOOKUP(B4919,辅助信息!E:J,6,FALSE)</f>
        <v>控制炉批号！多了现场不收！,优先安排达钢,提前联系到场规格及数量</v>
      </c>
      <c r="M4919" s="91">
        <v>45953</v>
      </c>
      <c r="O4919" s="62">
        <f ca="1" t="shared" si="236"/>
        <v>0</v>
      </c>
      <c r="P4919" s="62">
        <f ca="1" t="shared" si="237"/>
        <v>7</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5" t="s">
        <v>232</v>
      </c>
      <c r="C4920" s="104">
        <v>45954</v>
      </c>
      <c r="D4920" s="40" t="str">
        <f>VLOOKUP(B4920,辅助信息!E:K,7,FALSE)</f>
        <v>JWDDCD2025052800131</v>
      </c>
      <c r="E4920" s="40" t="str">
        <f>VLOOKUP(F4920,辅助信息!A:B,2,FALSE)</f>
        <v>螺纹钢</v>
      </c>
      <c r="F4920" s="40" t="s">
        <v>19</v>
      </c>
      <c r="G4920" s="36">
        <v>100</v>
      </c>
      <c r="H4920" s="134">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09" t="str">
        <f>VLOOKUP(B4920,辅助信息!E:J,6,FALSE)</f>
        <v>控制炉批号！多了现场不收！,优先安排达钢,提前联系到场规格及数量</v>
      </c>
      <c r="M4920" s="91">
        <v>45953</v>
      </c>
      <c r="O4920" s="62">
        <f ca="1" t="shared" si="236"/>
        <v>0</v>
      </c>
      <c r="P4920" s="62">
        <f ca="1" t="shared" si="237"/>
        <v>7</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5" t="s">
        <v>232</v>
      </c>
      <c r="C4921" s="104">
        <v>45954</v>
      </c>
      <c r="D4921" s="40" t="str">
        <f>VLOOKUP(B4921,辅助信息!E:K,7,FALSE)</f>
        <v>JWDDCD2025052800131</v>
      </c>
      <c r="E4921" s="40" t="str">
        <f>VLOOKUP(F4921,辅助信息!A:B,2,FALSE)</f>
        <v>螺纹钢</v>
      </c>
      <c r="F4921" s="40" t="s">
        <v>32</v>
      </c>
      <c r="G4921" s="36">
        <v>30</v>
      </c>
      <c r="H4921" s="134">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09" t="str">
        <f>VLOOKUP(B4921,辅助信息!E:J,6,FALSE)</f>
        <v>控制炉批号！多了现场不收！,优先安排达钢,提前联系到场规格及数量</v>
      </c>
      <c r="M4921" s="91">
        <v>45953</v>
      </c>
      <c r="O4921" s="62">
        <f ca="1" t="shared" si="236"/>
        <v>0</v>
      </c>
      <c r="P4921" s="62">
        <f ca="1" t="shared" si="237"/>
        <v>7</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5" t="s">
        <v>232</v>
      </c>
      <c r="C4922" s="104">
        <v>45954</v>
      </c>
      <c r="D4922" s="40" t="str">
        <f>VLOOKUP(B4922,辅助信息!E:K,7,FALSE)</f>
        <v>JWDDCD2025052800131</v>
      </c>
      <c r="E4922" s="40" t="str">
        <f>VLOOKUP(F4922,辅助信息!A:B,2,FALSE)</f>
        <v>螺纹钢</v>
      </c>
      <c r="F4922" s="40" t="s">
        <v>30</v>
      </c>
      <c r="G4922" s="36">
        <v>90</v>
      </c>
      <c r="H4922" s="134"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09" t="str">
        <f>VLOOKUP(B4922,辅助信息!E:J,6,FALSE)</f>
        <v>控制炉批号！多了现场不收！,优先安排达钢,提前联系到场规格及数量</v>
      </c>
      <c r="M4922" s="91">
        <v>45953</v>
      </c>
      <c r="O4922" s="62">
        <f ca="1" t="shared" si="236"/>
        <v>0</v>
      </c>
      <c r="P4922" s="62">
        <f ca="1" t="shared" si="237"/>
        <v>7</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5" t="s">
        <v>232</v>
      </c>
      <c r="C4923" s="104">
        <v>45954</v>
      </c>
      <c r="D4923" s="40" t="str">
        <f>VLOOKUP(B4923,辅助信息!E:K,7,FALSE)</f>
        <v>JWDDCD2025052800131</v>
      </c>
      <c r="E4923" s="40" t="str">
        <f>VLOOKUP(F4923,辅助信息!A:B,2,FALSE)</f>
        <v>螺纹钢</v>
      </c>
      <c r="F4923" s="40" t="s">
        <v>33</v>
      </c>
      <c r="G4923" s="36">
        <v>40</v>
      </c>
      <c r="H4923" s="134">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09" t="str">
        <f>VLOOKUP(B4923,辅助信息!E:J,6,FALSE)</f>
        <v>控制炉批号！多了现场不收！,优先安排达钢,提前联系到场规格及数量</v>
      </c>
      <c r="M4923" s="91">
        <v>45953</v>
      </c>
      <c r="O4923" s="62">
        <f ca="1" t="shared" si="236"/>
        <v>0</v>
      </c>
      <c r="P4923" s="62">
        <f ca="1" t="shared" si="237"/>
        <v>7</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5" t="s">
        <v>232</v>
      </c>
      <c r="C4924" s="104">
        <v>45954</v>
      </c>
      <c r="D4924" s="40" t="str">
        <f>VLOOKUP(B4924,辅助信息!E:K,7,FALSE)</f>
        <v>JWDDCD2025052800131</v>
      </c>
      <c r="E4924" s="40" t="str">
        <f>VLOOKUP(F4924,辅助信息!A:B,2,FALSE)</f>
        <v>螺纹钢</v>
      </c>
      <c r="F4924" s="40" t="s">
        <v>18</v>
      </c>
      <c r="G4924" s="36">
        <v>30</v>
      </c>
      <c r="H4924" s="134"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09" t="str">
        <f>VLOOKUP(B4924,辅助信息!E:J,6,FALSE)</f>
        <v>控制炉批号！多了现场不收！,优先安排达钢,提前联系到场规格及数量</v>
      </c>
      <c r="M4924" s="91">
        <v>45953</v>
      </c>
      <c r="O4924" s="62">
        <f ca="1" t="shared" si="236"/>
        <v>0</v>
      </c>
      <c r="P4924" s="62">
        <f ca="1" t="shared" si="237"/>
        <v>7</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5" t="s">
        <v>194</v>
      </c>
      <c r="C4925" s="104">
        <v>45953</v>
      </c>
      <c r="D4925" s="40" t="str">
        <f>VLOOKUP(B4925,辅助信息!E:K,7,FALSE)</f>
        <v>JWDD2025071500089</v>
      </c>
      <c r="E4925" s="40" t="str">
        <f>VLOOKUP(F4925,辅助信息!A:B,2,FALSE)</f>
        <v>盘螺</v>
      </c>
      <c r="F4925" s="40" t="s">
        <v>49</v>
      </c>
      <c r="G4925" s="36">
        <v>6</v>
      </c>
      <c r="H4925" s="134">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09" t="str">
        <f>VLOOKUP(B4925,辅助信息!E:J,6,FALSE)</f>
        <v>现场要求调度统一联系指定收货人，不单独发司机位置。锈货不收，装货前联系收货人核实到场规格,没提前告知进场规格现场不给予接收</v>
      </c>
      <c r="M4925" s="91">
        <v>45953</v>
      </c>
      <c r="O4925" s="62">
        <f ca="1" t="shared" si="236"/>
        <v>0</v>
      </c>
      <c r="P4925" s="62">
        <f ca="1" t="shared" si="237"/>
        <v>7</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5" t="s">
        <v>194</v>
      </c>
      <c r="C4926" s="104">
        <v>45953</v>
      </c>
      <c r="D4926" s="40" t="str">
        <f>VLOOKUP(B4926,辅助信息!E:K,7,FALSE)</f>
        <v>JWDD2025071500089</v>
      </c>
      <c r="E4926" s="40" t="str">
        <f>VLOOKUP(F4926,辅助信息!A:B,2,FALSE)</f>
        <v>盘螺</v>
      </c>
      <c r="F4926" s="40" t="s">
        <v>41</v>
      </c>
      <c r="G4926" s="36">
        <v>10</v>
      </c>
      <c r="H4926" s="134">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09" t="str">
        <f>VLOOKUP(B4926,辅助信息!E:J,6,FALSE)</f>
        <v>现场要求调度统一联系指定收货人，不单独发司机位置。锈货不收，装货前联系收货人核实到场规格,没提前告知进场规格现场不给予接收</v>
      </c>
      <c r="M4926" s="91">
        <v>45953</v>
      </c>
      <c r="O4926" s="62">
        <f ca="1" t="shared" si="236"/>
        <v>0</v>
      </c>
      <c r="P4926" s="62">
        <f ca="1" t="shared" si="237"/>
        <v>7</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5" t="s">
        <v>194</v>
      </c>
      <c r="C4927" s="104">
        <v>45953</v>
      </c>
      <c r="D4927" s="40" t="str">
        <f>VLOOKUP(B4927,辅助信息!E:K,7,FALSE)</f>
        <v>JWDD2025071500089</v>
      </c>
      <c r="E4927" s="40" t="str">
        <f>VLOOKUP(F4927,辅助信息!A:B,2,FALSE)</f>
        <v>盘螺</v>
      </c>
      <c r="F4927" s="40" t="s">
        <v>26</v>
      </c>
      <c r="G4927" s="36">
        <v>8</v>
      </c>
      <c r="H4927" s="134">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09" t="str">
        <f>VLOOKUP(B4927,辅助信息!E:J,6,FALSE)</f>
        <v>现场要求调度统一联系指定收货人，不单独发司机位置。锈货不收，装货前联系收货人核实到场规格,没提前告知进场规格现场不给予接收</v>
      </c>
      <c r="M4927" s="91">
        <v>45953</v>
      </c>
      <c r="O4927" s="62">
        <f ca="1" t="shared" si="236"/>
        <v>0</v>
      </c>
      <c r="P4927" s="62">
        <f ca="1" t="shared" si="237"/>
        <v>7</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5" t="s">
        <v>194</v>
      </c>
      <c r="C4928" s="104">
        <v>45953</v>
      </c>
      <c r="D4928" s="40" t="str">
        <f>VLOOKUP(B4928,辅助信息!E:K,7,FALSE)</f>
        <v>JWDD2025071500089</v>
      </c>
      <c r="E4928" s="40" t="str">
        <f>VLOOKUP(F4928,辅助信息!A:B,2,FALSE)</f>
        <v>螺纹钢</v>
      </c>
      <c r="F4928" s="40" t="s">
        <v>19</v>
      </c>
      <c r="G4928" s="36">
        <v>12</v>
      </c>
      <c r="H4928" s="134">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09" t="str">
        <f>VLOOKUP(B4928,辅助信息!E:J,6,FALSE)</f>
        <v>现场要求调度统一联系指定收货人，不单独发司机位置。锈货不收，装货前联系收货人核实到场规格,没提前告知进场规格现场不给予接收</v>
      </c>
      <c r="M4928" s="91">
        <v>45953</v>
      </c>
      <c r="O4928" s="62">
        <f ca="1" t="shared" si="236"/>
        <v>0</v>
      </c>
      <c r="P4928" s="62">
        <f ca="1" t="shared" si="237"/>
        <v>7</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5" t="s">
        <v>194</v>
      </c>
      <c r="C4929" s="104">
        <v>45953</v>
      </c>
      <c r="D4929" s="40" t="str">
        <f>VLOOKUP(B4929,辅助信息!E:K,7,FALSE)</f>
        <v>JWDD2025071500089</v>
      </c>
      <c r="E4929" s="40" t="str">
        <f>VLOOKUP(F4929,辅助信息!A:B,2,FALSE)</f>
        <v>螺纹钢</v>
      </c>
      <c r="F4929" s="40" t="s">
        <v>32</v>
      </c>
      <c r="G4929" s="36">
        <v>6</v>
      </c>
      <c r="H4929" s="134">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09" t="str">
        <f>VLOOKUP(B4929,辅助信息!E:J,6,FALSE)</f>
        <v>现场要求调度统一联系指定收货人，不单独发司机位置。锈货不收，装货前联系收货人核实到场规格,没提前告知进场规格现场不给予接收</v>
      </c>
      <c r="M4929" s="91">
        <v>45953</v>
      </c>
      <c r="O4929" s="62">
        <f ca="1" t="shared" si="236"/>
        <v>0</v>
      </c>
      <c r="P4929" s="62">
        <f ca="1" t="shared" si="237"/>
        <v>7</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5" t="s">
        <v>194</v>
      </c>
      <c r="C4930" s="104">
        <v>45953</v>
      </c>
      <c r="D4930" s="40" t="str">
        <f>VLOOKUP(B4930,辅助信息!E:K,7,FALSE)</f>
        <v>JWDD2025071500089</v>
      </c>
      <c r="E4930" s="40" t="str">
        <f>VLOOKUP(F4930,辅助信息!A:B,2,FALSE)</f>
        <v>螺纹钢</v>
      </c>
      <c r="F4930" s="40" t="s">
        <v>30</v>
      </c>
      <c r="G4930" s="36">
        <v>6</v>
      </c>
      <c r="H4930" s="134">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09" t="str">
        <f>VLOOKUP(B4930,辅助信息!E:J,6,FALSE)</f>
        <v>现场要求调度统一联系指定收货人，不单独发司机位置。锈货不收，装货前联系收货人核实到场规格,没提前告知进场规格现场不给予接收</v>
      </c>
      <c r="M4930" s="91">
        <v>45953</v>
      </c>
      <c r="O4930" s="62">
        <f ca="1" t="shared" si="236"/>
        <v>0</v>
      </c>
      <c r="P4930" s="62">
        <f ca="1" t="shared" si="237"/>
        <v>7</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5" t="s">
        <v>194</v>
      </c>
      <c r="C4931" s="104">
        <v>45953</v>
      </c>
      <c r="D4931" s="40" t="str">
        <f>VLOOKUP(B4931,辅助信息!E:K,7,FALSE)</f>
        <v>JWDD2025071500089</v>
      </c>
      <c r="E4931" s="40" t="str">
        <f>VLOOKUP(F4931,辅助信息!A:B,2,FALSE)</f>
        <v>螺纹钢</v>
      </c>
      <c r="F4931" s="40" t="s">
        <v>33</v>
      </c>
      <c r="G4931" s="36">
        <v>6</v>
      </c>
      <c r="H4931" s="134">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09" t="str">
        <f>VLOOKUP(B4931,辅助信息!E:J,6,FALSE)</f>
        <v>现场要求调度统一联系指定收货人，不单独发司机位置。锈货不收，装货前联系收货人核实到场规格,没提前告知进场规格现场不给予接收</v>
      </c>
      <c r="M4931" s="91">
        <v>45953</v>
      </c>
      <c r="O4931" s="62">
        <f ca="1" t="shared" si="236"/>
        <v>0</v>
      </c>
      <c r="P4931" s="62">
        <f ca="1" t="shared" si="237"/>
        <v>7</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5" t="s">
        <v>194</v>
      </c>
      <c r="C4932" s="104">
        <v>45953</v>
      </c>
      <c r="D4932" s="40" t="str">
        <f>VLOOKUP(B4932,辅助信息!E:K,7,FALSE)</f>
        <v>JWDD2025071500089</v>
      </c>
      <c r="E4932" s="40" t="str">
        <f>VLOOKUP(F4932,辅助信息!A:B,2,FALSE)</f>
        <v>螺纹钢</v>
      </c>
      <c r="F4932" s="40" t="s">
        <v>28</v>
      </c>
      <c r="G4932" s="36">
        <v>6</v>
      </c>
      <c r="H4932" s="134">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09" t="str">
        <f>VLOOKUP(B4932,辅助信息!E:J,6,FALSE)</f>
        <v>现场要求调度统一联系指定收货人，不单独发司机位置。锈货不收，装货前联系收货人核实到场规格,没提前告知进场规格现场不给予接收</v>
      </c>
      <c r="M4932" s="91">
        <v>45953</v>
      </c>
      <c r="O4932" s="62">
        <f ca="1" t="shared" si="236"/>
        <v>0</v>
      </c>
      <c r="P4932" s="62">
        <f ca="1" t="shared" si="237"/>
        <v>7</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7" t="s">
        <v>194</v>
      </c>
      <c r="C4933" s="104">
        <v>45953</v>
      </c>
      <c r="D4933" s="83" t="str">
        <f>VLOOKUP(B4933,辅助信息!E:K,7,FALSE)</f>
        <v>JWDD2025071500089</v>
      </c>
      <c r="E4933" s="83" t="str">
        <f>VLOOKUP(F4933,辅助信息!A:B,2,FALSE)</f>
        <v>螺纹钢</v>
      </c>
      <c r="F4933" s="83" t="s">
        <v>18</v>
      </c>
      <c r="G4933" s="85">
        <v>10</v>
      </c>
      <c r="H4933" s="138">
        <f>IF(SUMIFS('[1]2025年已发货'!$E:$E,'[1]2025年已发货'!$F:$F,C4933,'[1]2025年已发货'!$C:$C,F4933,'[1]2025年已发货'!$G:$G,I4933,'[1]2025年已发货'!$H:$H,J4933)=0,"未发货",SUMIFS('[1]2025年已发货'!$E:$E,'[1]2025年已发货'!$F:$F,C4933,'[1]2025年已发货'!$C:$C,F4933,'[1]2025年已发货'!$G:$G,I4933,'[1]2025年已发货'!$H:$H,J4933))</f>
        <v>10</v>
      </c>
      <c r="I4933" s="110" t="str">
        <f>VLOOKUP(B4933,辅助信息!E:I,3,FALSE)</f>
        <v>(宜宾兴港三江新区长江工业园保障性租赁住房建设项目-土建)四川省宜宾市翠屏区永善路南段宜宾市三江新区长江工业园区</v>
      </c>
      <c r="J4933" s="83" t="str">
        <f>VLOOKUP(B4933,辅助信息!E:I,4,FALSE)</f>
        <v>赵元虎</v>
      </c>
      <c r="K4933" s="83">
        <f>VLOOKUP(J4933,辅助信息!H:I,2,FALSE)</f>
        <v>13684167136</v>
      </c>
      <c r="L4933" s="158" t="str">
        <f>VLOOKUP(B4933,辅助信息!E:J,6,FALSE)</f>
        <v>现场要求调度统一联系指定收货人，不单独发司机位置。锈货不收，装货前联系收货人核实到场规格,没提前告知进场规格现场不给予接收</v>
      </c>
      <c r="M4933" s="91">
        <v>45953</v>
      </c>
      <c r="O4933" s="62">
        <f ca="1" t="shared" si="236"/>
        <v>0</v>
      </c>
      <c r="P4933" s="62">
        <f ca="1" t="shared" si="237"/>
        <v>7</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5" t="s">
        <v>163</v>
      </c>
      <c r="C4934" s="104">
        <v>45954</v>
      </c>
      <c r="D4934" s="40" t="str">
        <f>VLOOKUP(B4934,辅助信息!E:K,7,FALSE)</f>
        <v>JWDDCD2025052800131</v>
      </c>
      <c r="E4934" s="40" t="str">
        <f>VLOOKUP(F4934,辅助信息!A:B,2,FALSE)</f>
        <v>盘螺</v>
      </c>
      <c r="F4934" s="40" t="s">
        <v>40</v>
      </c>
      <c r="G4934" s="36">
        <v>40</v>
      </c>
      <c r="H4934" s="134">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09" t="str">
        <f>VLOOKUP(B4934,辅助信息!E:J,6,FALSE)</f>
        <v>控制炉批号！多了现场不收！,优先安排达钢,提前联系到场规格及数量</v>
      </c>
      <c r="M4934" s="104">
        <v>45953</v>
      </c>
      <c r="O4934" s="62">
        <f ca="1" t="shared" si="236"/>
        <v>0</v>
      </c>
      <c r="P4934" s="62">
        <f ca="1" t="shared" si="237"/>
        <v>7</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5" t="s">
        <v>163</v>
      </c>
      <c r="C4935" s="104">
        <v>45954</v>
      </c>
      <c r="D4935" s="40" t="str">
        <f>VLOOKUP(B4935,辅助信息!E:K,7,FALSE)</f>
        <v>JWDDCD2025052800131</v>
      </c>
      <c r="E4935" s="40" t="str">
        <f>VLOOKUP(F4935,辅助信息!A:B,2,FALSE)</f>
        <v>螺纹钢</v>
      </c>
      <c r="F4935" s="40" t="s">
        <v>66</v>
      </c>
      <c r="G4935" s="36">
        <v>18</v>
      </c>
      <c r="H4935" s="134">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09" t="str">
        <f>VLOOKUP(B4935,辅助信息!E:J,6,FALSE)</f>
        <v>控制炉批号！多了现场不收！,优先安排达钢,提前联系到场规格及数量</v>
      </c>
      <c r="M4935" s="104">
        <v>45953</v>
      </c>
      <c r="O4935" s="62">
        <f ca="1" t="shared" si="236"/>
        <v>0</v>
      </c>
      <c r="P4935" s="62">
        <f ca="1" t="shared" si="237"/>
        <v>7</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5" t="s">
        <v>163</v>
      </c>
      <c r="C4936" s="104">
        <v>45954</v>
      </c>
      <c r="D4936" s="40" t="str">
        <f>VLOOKUP(B4936,辅助信息!E:K,7,FALSE)</f>
        <v>JWDDCD2025052800131</v>
      </c>
      <c r="E4936" s="40" t="str">
        <f>VLOOKUP(F4936,辅助信息!A:B,2,FALSE)</f>
        <v>螺纹钢</v>
      </c>
      <c r="F4936" s="40" t="s">
        <v>45</v>
      </c>
      <c r="G4936" s="36">
        <v>6</v>
      </c>
      <c r="H4936" s="134">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09" t="str">
        <f>VLOOKUP(B4936,辅助信息!E:J,6,FALSE)</f>
        <v>控制炉批号！多了现场不收！,优先安排达钢,提前联系到场规格及数量</v>
      </c>
      <c r="M4936" s="104">
        <v>45953</v>
      </c>
      <c r="O4936" s="62">
        <f ca="1" t="shared" si="236"/>
        <v>0</v>
      </c>
      <c r="P4936" s="62">
        <f ca="1" t="shared" si="237"/>
        <v>7</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5" t="s">
        <v>163</v>
      </c>
      <c r="C4937" s="104">
        <v>45954</v>
      </c>
      <c r="D4937" s="40" t="str">
        <f>VLOOKUP(B4937,辅助信息!E:K,7,FALSE)</f>
        <v>JWDDCD2025052800131</v>
      </c>
      <c r="E4937" s="40" t="str">
        <f>VLOOKUP(F4937,辅助信息!A:B,2,FALSE)</f>
        <v>螺纹钢</v>
      </c>
      <c r="F4937" s="40" t="s">
        <v>21</v>
      </c>
      <c r="G4937" s="36">
        <v>18</v>
      </c>
      <c r="H4937" s="134"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09" t="str">
        <f>VLOOKUP(B4937,辅助信息!E:J,6,FALSE)</f>
        <v>控制炉批号！多了现场不收！,优先安排达钢,提前联系到场规格及数量</v>
      </c>
      <c r="M4937" s="104">
        <v>45953</v>
      </c>
      <c r="O4937" s="62">
        <f ca="1" t="shared" si="236"/>
        <v>0</v>
      </c>
      <c r="P4937" s="62">
        <f ca="1" t="shared" si="237"/>
        <v>7</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6" t="s">
        <v>229</v>
      </c>
      <c r="C4938" s="104">
        <v>45954</v>
      </c>
      <c r="D4938" s="120" t="str">
        <f>VLOOKUP(B4938,辅助信息!E:K,7,FALSE)</f>
        <v>JWDDCD2025092400212</v>
      </c>
      <c r="E4938" s="120" t="str">
        <f>VLOOKUP(F4938,辅助信息!A:B,2,FALSE)</f>
        <v>盘螺</v>
      </c>
      <c r="F4938" s="120" t="s">
        <v>40</v>
      </c>
      <c r="G4938" s="121">
        <f>75-34</f>
        <v>41</v>
      </c>
      <c r="H4938" s="134"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6" t="str">
        <f>VLOOKUP(B4938,辅助信息!E:I,3,FALSE)</f>
        <v>(五冶钢构龙泉东洪片区85亩住宅、商业及配套工程项目三标段)成都市龙泉驿外东洪路地铁2号线惠王陵地铁C口</v>
      </c>
      <c r="J4938" s="120" t="str">
        <f>VLOOKUP(B4938,辅助信息!E:I,4,FALSE)</f>
        <v>王军宝</v>
      </c>
      <c r="K4938" s="120">
        <f>VLOOKUP(J4938,辅助信息!H:I,2,FALSE)</f>
        <v>13889142392</v>
      </c>
      <c r="L4938" s="122">
        <f>VLOOKUP(B4938,辅助信息!E:J,6,FALSE)</f>
        <v>0</v>
      </c>
      <c r="M4938" s="91">
        <v>45948</v>
      </c>
      <c r="O4938" s="62">
        <f ca="1" t="shared" si="236"/>
        <v>0</v>
      </c>
      <c r="P4938" s="62">
        <f ca="1" t="shared" si="237"/>
        <v>12</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6" t="s">
        <v>228</v>
      </c>
      <c r="C4939" s="104">
        <v>45954</v>
      </c>
      <c r="D4939" s="120" t="str">
        <f>VLOOKUP(B4939,辅助信息!E:K,7,FALSE)</f>
        <v>JWDDCD2025092400190</v>
      </c>
      <c r="E4939" s="120" t="str">
        <f>VLOOKUP(F4939,辅助信息!A:B,2,FALSE)</f>
        <v>盘螺</v>
      </c>
      <c r="F4939" s="120" t="s">
        <v>41</v>
      </c>
      <c r="G4939" s="121">
        <v>16</v>
      </c>
      <c r="H4939" s="134"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6" t="str">
        <f>VLOOKUP(B4939,辅助信息!E:I,3,FALSE)</f>
        <v>(五冶钢构龙泉东洪片区70亩住宅、商业及配套工程项目二标段)成都市龙泉驿外东洪路地铁2号线惠王陵地铁C口</v>
      </c>
      <c r="J4939" s="120" t="str">
        <f>VLOOKUP(B4939,辅助信息!E:I,4,FALSE)</f>
        <v>蒋嗣伟</v>
      </c>
      <c r="K4939" s="120">
        <f>VLOOKUP(J4939,辅助信息!H:I,2,FALSE)</f>
        <v>15014331252</v>
      </c>
      <c r="L4939" s="122">
        <f>VLOOKUP(B4939,辅助信息!E:J,6,FALSE)</f>
        <v>0</v>
      </c>
      <c r="M4939" s="91">
        <v>45948</v>
      </c>
      <c r="O4939" s="62">
        <f ca="1" t="shared" si="236"/>
        <v>0</v>
      </c>
      <c r="P4939" s="62">
        <f ca="1" t="shared" si="237"/>
        <v>12</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6" t="s">
        <v>229</v>
      </c>
      <c r="C4940" s="104">
        <v>45954</v>
      </c>
      <c r="D4940" s="120" t="str">
        <f>VLOOKUP(B4940,辅助信息!E:K,7,FALSE)</f>
        <v>JWDDCD2025092400212</v>
      </c>
      <c r="E4940" s="120" t="str">
        <f>VLOOKUP(F4940,辅助信息!A:B,2,FALSE)</f>
        <v>高线</v>
      </c>
      <c r="F4940" s="120" t="s">
        <v>57</v>
      </c>
      <c r="G4940" s="121">
        <v>2</v>
      </c>
      <c r="H4940" s="134"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6" t="str">
        <f>VLOOKUP(B4940,辅助信息!E:I,3,FALSE)</f>
        <v>(五冶钢构龙泉东洪片区85亩住宅、商业及配套工程项目三标段)成都市龙泉驿外东洪路地铁2号线惠王陵地铁C口</v>
      </c>
      <c r="J4940" s="120" t="str">
        <f>VLOOKUP(B4940,辅助信息!E:I,4,FALSE)</f>
        <v>王军宝</v>
      </c>
      <c r="K4940" s="120">
        <f>VLOOKUP(J4940,辅助信息!H:I,2,FALSE)</f>
        <v>13889142392</v>
      </c>
      <c r="L4940" s="122">
        <f>VLOOKUP(B4940,辅助信息!E:J,6,FALSE)</f>
        <v>0</v>
      </c>
      <c r="M4940" s="91">
        <v>45950</v>
      </c>
      <c r="O4940" s="62">
        <f ca="1" t="shared" si="236"/>
        <v>0</v>
      </c>
      <c r="P4940" s="62">
        <f ca="1" t="shared" si="237"/>
        <v>10</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6" t="s">
        <v>229</v>
      </c>
      <c r="C4941" s="104">
        <v>45954</v>
      </c>
      <c r="D4941" s="120" t="str">
        <f>VLOOKUP(B4941,辅助信息!E:K,7,FALSE)</f>
        <v>JWDDCD2025092400212</v>
      </c>
      <c r="E4941" s="120" t="str">
        <f>VLOOKUP(F4941,辅助信息!A:B,2,FALSE)</f>
        <v>高线</v>
      </c>
      <c r="F4941" s="120" t="s">
        <v>53</v>
      </c>
      <c r="G4941" s="121">
        <v>2</v>
      </c>
      <c r="H4941" s="134"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6" t="str">
        <f>VLOOKUP(B4941,辅助信息!E:I,3,FALSE)</f>
        <v>(五冶钢构龙泉东洪片区85亩住宅、商业及配套工程项目三标段)成都市龙泉驿外东洪路地铁2号线惠王陵地铁C口</v>
      </c>
      <c r="J4941" s="120" t="str">
        <f>VLOOKUP(B4941,辅助信息!E:I,4,FALSE)</f>
        <v>王军宝</v>
      </c>
      <c r="K4941" s="120">
        <f>VLOOKUP(J4941,辅助信息!H:I,2,FALSE)</f>
        <v>13889142392</v>
      </c>
      <c r="L4941" s="122">
        <f>VLOOKUP(B4941,辅助信息!E:J,6,FALSE)</f>
        <v>0</v>
      </c>
      <c r="M4941" s="91">
        <v>45950</v>
      </c>
      <c r="O4941" s="62">
        <f ca="1" t="shared" si="236"/>
        <v>0</v>
      </c>
      <c r="P4941" s="62">
        <f ca="1" t="shared" si="237"/>
        <v>10</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6" t="s">
        <v>229</v>
      </c>
      <c r="C4942" s="104">
        <v>45954</v>
      </c>
      <c r="D4942" s="120" t="str">
        <f>VLOOKUP(B4942,辅助信息!E:K,7,FALSE)</f>
        <v>JWDDCD2025092400212</v>
      </c>
      <c r="E4942" s="120" t="str">
        <f>VLOOKUP(F4942,辅助信息!A:B,2,FALSE)</f>
        <v>盘螺</v>
      </c>
      <c r="F4942" s="120" t="s">
        <v>49</v>
      </c>
      <c r="G4942" s="121">
        <v>2</v>
      </c>
      <c r="H4942" s="134"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6" t="str">
        <f>VLOOKUP(B4942,辅助信息!E:I,3,FALSE)</f>
        <v>(五冶钢构龙泉东洪片区85亩住宅、商业及配套工程项目三标段)成都市龙泉驿外东洪路地铁2号线惠王陵地铁C口</v>
      </c>
      <c r="J4942" s="120" t="str">
        <f>VLOOKUP(B4942,辅助信息!E:I,4,FALSE)</f>
        <v>王军宝</v>
      </c>
      <c r="K4942" s="120">
        <f>VLOOKUP(J4942,辅助信息!H:I,2,FALSE)</f>
        <v>13889142392</v>
      </c>
      <c r="L4942" s="122">
        <f>VLOOKUP(B4942,辅助信息!E:J,6,FALSE)</f>
        <v>0</v>
      </c>
      <c r="M4942" s="91">
        <v>45950</v>
      </c>
      <c r="O4942" s="62">
        <f ca="1" t="shared" si="236"/>
        <v>0</v>
      </c>
      <c r="P4942" s="62">
        <f ca="1" t="shared" si="237"/>
        <v>10</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6" t="s">
        <v>229</v>
      </c>
      <c r="C4943" s="104">
        <v>45954</v>
      </c>
      <c r="D4943" s="120" t="str">
        <f>VLOOKUP(B4943,辅助信息!E:K,7,FALSE)</f>
        <v>JWDDCD2025092400212</v>
      </c>
      <c r="E4943" s="120" t="str">
        <f>VLOOKUP(F4943,辅助信息!A:B,2,FALSE)</f>
        <v>盘螺</v>
      </c>
      <c r="F4943" s="120" t="s">
        <v>40</v>
      </c>
      <c r="G4943" s="121">
        <v>8</v>
      </c>
      <c r="H4943" s="134"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6" t="str">
        <f>VLOOKUP(B4943,辅助信息!E:I,3,FALSE)</f>
        <v>(五冶钢构龙泉东洪片区85亩住宅、商业及配套工程项目三标段)成都市龙泉驿外东洪路地铁2号线惠王陵地铁C口</v>
      </c>
      <c r="J4943" s="120" t="str">
        <f>VLOOKUP(B4943,辅助信息!E:I,4,FALSE)</f>
        <v>王军宝</v>
      </c>
      <c r="K4943" s="120">
        <f>VLOOKUP(J4943,辅助信息!H:I,2,FALSE)</f>
        <v>13889142392</v>
      </c>
      <c r="L4943" s="122">
        <f>VLOOKUP(B4943,辅助信息!E:J,6,FALSE)</f>
        <v>0</v>
      </c>
      <c r="M4943" s="91">
        <v>45950</v>
      </c>
      <c r="O4943" s="62">
        <f ca="1" t="shared" si="236"/>
        <v>0</v>
      </c>
      <c r="P4943" s="62">
        <f ca="1" t="shared" si="237"/>
        <v>10</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6" t="s">
        <v>229</v>
      </c>
      <c r="C4944" s="104">
        <v>45954</v>
      </c>
      <c r="D4944" s="120" t="str">
        <f>VLOOKUP(B4944,辅助信息!E:K,7,FALSE)</f>
        <v>JWDDCD2025092400212</v>
      </c>
      <c r="E4944" s="120" t="str">
        <f>VLOOKUP(F4944,辅助信息!A:B,2,FALSE)</f>
        <v>盘螺</v>
      </c>
      <c r="F4944" s="120" t="s">
        <v>41</v>
      </c>
      <c r="G4944" s="121">
        <v>20</v>
      </c>
      <c r="H4944" s="134"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6" t="str">
        <f>VLOOKUP(B4944,辅助信息!E:I,3,FALSE)</f>
        <v>(五冶钢构龙泉东洪片区85亩住宅、商业及配套工程项目三标段)成都市龙泉驿外东洪路地铁2号线惠王陵地铁C口</v>
      </c>
      <c r="J4944" s="120" t="str">
        <f>VLOOKUP(B4944,辅助信息!E:I,4,FALSE)</f>
        <v>王军宝</v>
      </c>
      <c r="K4944" s="120">
        <f>VLOOKUP(J4944,辅助信息!H:I,2,FALSE)</f>
        <v>13889142392</v>
      </c>
      <c r="L4944" s="122">
        <f>VLOOKUP(B4944,辅助信息!E:J,6,FALSE)</f>
        <v>0</v>
      </c>
      <c r="M4944" s="91">
        <v>45950</v>
      </c>
      <c r="O4944" s="62">
        <f ca="1" t="shared" si="236"/>
        <v>0</v>
      </c>
      <c r="P4944" s="62">
        <f ca="1" t="shared" si="237"/>
        <v>10</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6" t="s">
        <v>229</v>
      </c>
      <c r="C4945" s="104">
        <v>45954</v>
      </c>
      <c r="D4945" s="120" t="str">
        <f>VLOOKUP(B4945,辅助信息!E:K,7,FALSE)</f>
        <v>JWDDCD2025092400212</v>
      </c>
      <c r="E4945" s="120" t="str">
        <f>VLOOKUP(F4945,辅助信息!A:B,2,FALSE)</f>
        <v>螺纹钢</v>
      </c>
      <c r="F4945" s="120" t="s">
        <v>27</v>
      </c>
      <c r="G4945" s="121">
        <v>30</v>
      </c>
      <c r="H4945" s="134"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6" t="str">
        <f>VLOOKUP(B4945,辅助信息!E:I,3,FALSE)</f>
        <v>(五冶钢构龙泉东洪片区85亩住宅、商业及配套工程项目三标段)成都市龙泉驿外东洪路地铁2号线惠王陵地铁C口</v>
      </c>
      <c r="J4945" s="120" t="str">
        <f>VLOOKUP(B4945,辅助信息!E:I,4,FALSE)</f>
        <v>王军宝</v>
      </c>
      <c r="K4945" s="120">
        <f>VLOOKUP(J4945,辅助信息!H:I,2,FALSE)</f>
        <v>13889142392</v>
      </c>
      <c r="L4945" s="122">
        <f>VLOOKUP(B4945,辅助信息!E:J,6,FALSE)</f>
        <v>0</v>
      </c>
      <c r="M4945" s="91">
        <v>45950</v>
      </c>
      <c r="O4945" s="62">
        <f ca="1" t="shared" si="236"/>
        <v>0</v>
      </c>
      <c r="P4945" s="62">
        <f ca="1" t="shared" si="237"/>
        <v>10</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6" t="s">
        <v>229</v>
      </c>
      <c r="C4946" s="104">
        <v>45954</v>
      </c>
      <c r="D4946" s="120" t="str">
        <f>VLOOKUP(B4946,辅助信息!E:K,7,FALSE)</f>
        <v>JWDDCD2025092400212</v>
      </c>
      <c r="E4946" s="120" t="str">
        <f>VLOOKUP(F4946,辅助信息!A:B,2,FALSE)</f>
        <v>盘螺</v>
      </c>
      <c r="F4946" s="120" t="s">
        <v>49</v>
      </c>
      <c r="G4946" s="121">
        <v>6</v>
      </c>
      <c r="H4946" s="134"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6" t="str">
        <f>VLOOKUP(B4946,辅助信息!E:I,3,FALSE)</f>
        <v>(五冶钢构龙泉东洪片区85亩住宅、商业及配套工程项目三标段)成都市龙泉驿外东洪路地铁2号线惠王陵地铁C口</v>
      </c>
      <c r="J4946" s="120" t="str">
        <f>VLOOKUP(B4946,辅助信息!E:I,4,FALSE)</f>
        <v>王军宝</v>
      </c>
      <c r="K4946" s="120">
        <f>VLOOKUP(J4946,辅助信息!H:I,2,FALSE)</f>
        <v>13889142392</v>
      </c>
      <c r="L4946" s="122">
        <f>VLOOKUP(B4946,辅助信息!E:J,6,FALSE)</f>
        <v>0</v>
      </c>
      <c r="M4946" s="91">
        <v>45950</v>
      </c>
      <c r="O4946" s="62">
        <f ca="1" t="shared" si="236"/>
        <v>0</v>
      </c>
      <c r="P4946" s="62">
        <f ca="1" t="shared" si="237"/>
        <v>10</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6" t="s">
        <v>229</v>
      </c>
      <c r="C4947" s="104">
        <v>45954</v>
      </c>
      <c r="D4947" s="120" t="str">
        <f>VLOOKUP(B4947,辅助信息!E:K,7,FALSE)</f>
        <v>JWDDCD2025092400212</v>
      </c>
      <c r="E4947" s="120" t="str">
        <f>VLOOKUP(F4947,辅助信息!A:B,2,FALSE)</f>
        <v>盘螺</v>
      </c>
      <c r="F4947" s="120" t="s">
        <v>40</v>
      </c>
      <c r="G4947" s="121">
        <v>20</v>
      </c>
      <c r="H4947" s="134"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6" t="str">
        <f>VLOOKUP(B4947,辅助信息!E:I,3,FALSE)</f>
        <v>(五冶钢构龙泉东洪片区85亩住宅、商业及配套工程项目三标段)成都市龙泉驿外东洪路地铁2号线惠王陵地铁C口</v>
      </c>
      <c r="J4947" s="120" t="str">
        <f>VLOOKUP(B4947,辅助信息!E:I,4,FALSE)</f>
        <v>王军宝</v>
      </c>
      <c r="K4947" s="120">
        <f>VLOOKUP(J4947,辅助信息!H:I,2,FALSE)</f>
        <v>13889142392</v>
      </c>
      <c r="L4947" s="122">
        <f>VLOOKUP(B4947,辅助信息!E:J,6,FALSE)</f>
        <v>0</v>
      </c>
      <c r="M4947" s="91">
        <v>45950</v>
      </c>
      <c r="O4947" s="62">
        <f ca="1" t="shared" si="236"/>
        <v>0</v>
      </c>
      <c r="P4947" s="62">
        <f ca="1" t="shared" si="237"/>
        <v>10</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6" t="s">
        <v>229</v>
      </c>
      <c r="C4948" s="104">
        <v>45954</v>
      </c>
      <c r="D4948" s="120" t="str">
        <f>VLOOKUP(B4948,辅助信息!E:K,7,FALSE)</f>
        <v>JWDDCD2025092400212</v>
      </c>
      <c r="E4948" s="120" t="str">
        <f>VLOOKUP(F4948,辅助信息!A:B,2,FALSE)</f>
        <v>盘螺</v>
      </c>
      <c r="F4948" s="120" t="s">
        <v>41</v>
      </c>
      <c r="G4948" s="121">
        <v>40</v>
      </c>
      <c r="H4948" s="134"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6" t="str">
        <f>VLOOKUP(B4948,辅助信息!E:I,3,FALSE)</f>
        <v>(五冶钢构龙泉东洪片区85亩住宅、商业及配套工程项目三标段)成都市龙泉驿外东洪路地铁2号线惠王陵地铁C口</v>
      </c>
      <c r="J4948" s="120" t="str">
        <f>VLOOKUP(B4948,辅助信息!E:I,4,FALSE)</f>
        <v>王军宝</v>
      </c>
      <c r="K4948" s="120">
        <f>VLOOKUP(J4948,辅助信息!H:I,2,FALSE)</f>
        <v>13889142392</v>
      </c>
      <c r="L4948" s="122">
        <f>VLOOKUP(B4948,辅助信息!E:J,6,FALSE)</f>
        <v>0</v>
      </c>
      <c r="M4948" s="91">
        <v>45950</v>
      </c>
      <c r="O4948" s="62">
        <f ca="1" t="shared" si="236"/>
        <v>0</v>
      </c>
      <c r="P4948" s="62">
        <f ca="1" t="shared" si="237"/>
        <v>10</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6" t="s">
        <v>229</v>
      </c>
      <c r="C4949" s="104">
        <v>45954</v>
      </c>
      <c r="D4949" s="120" t="str">
        <f>VLOOKUP(B4949,辅助信息!E:K,7,FALSE)</f>
        <v>JWDDCD2025092400212</v>
      </c>
      <c r="E4949" s="120" t="str">
        <f>VLOOKUP(F4949,辅助信息!A:B,2,FALSE)</f>
        <v>螺纹钢</v>
      </c>
      <c r="F4949" s="120" t="s">
        <v>27</v>
      </c>
      <c r="G4949" s="121">
        <v>57</v>
      </c>
      <c r="H4949" s="134"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6" t="str">
        <f>VLOOKUP(B4949,辅助信息!E:I,3,FALSE)</f>
        <v>(五冶钢构龙泉东洪片区85亩住宅、商业及配套工程项目三标段)成都市龙泉驿外东洪路地铁2号线惠王陵地铁C口</v>
      </c>
      <c r="J4949" s="120" t="str">
        <f>VLOOKUP(B4949,辅助信息!E:I,4,FALSE)</f>
        <v>王军宝</v>
      </c>
      <c r="K4949" s="120">
        <f>VLOOKUP(J4949,辅助信息!H:I,2,FALSE)</f>
        <v>13889142392</v>
      </c>
      <c r="L4949" s="122">
        <f>VLOOKUP(B4949,辅助信息!E:J,6,FALSE)</f>
        <v>0</v>
      </c>
      <c r="M4949" s="91">
        <v>45950</v>
      </c>
      <c r="O4949" s="62">
        <f ca="1" t="shared" si="236"/>
        <v>0</v>
      </c>
      <c r="P4949" s="62">
        <f ca="1" t="shared" si="237"/>
        <v>10</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6" t="s">
        <v>229</v>
      </c>
      <c r="C4950" s="104">
        <v>45954</v>
      </c>
      <c r="D4950" s="120" t="str">
        <f>VLOOKUP(B4950,辅助信息!E:K,7,FALSE)</f>
        <v>JWDDCD2025092400212</v>
      </c>
      <c r="E4950" s="120" t="str">
        <f>VLOOKUP(F4950,辅助信息!A:B,2,FALSE)</f>
        <v>螺纹钢</v>
      </c>
      <c r="F4950" s="120" t="s">
        <v>19</v>
      </c>
      <c r="G4950" s="121">
        <v>9</v>
      </c>
      <c r="H4950" s="134"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6" t="str">
        <f>VLOOKUP(B4950,辅助信息!E:I,3,FALSE)</f>
        <v>(五冶钢构龙泉东洪片区85亩住宅、商业及配套工程项目三标段)成都市龙泉驿外东洪路地铁2号线惠王陵地铁C口</v>
      </c>
      <c r="J4950" s="120" t="str">
        <f>VLOOKUP(B4950,辅助信息!E:I,4,FALSE)</f>
        <v>王军宝</v>
      </c>
      <c r="K4950" s="120">
        <f>VLOOKUP(J4950,辅助信息!H:I,2,FALSE)</f>
        <v>13889142392</v>
      </c>
      <c r="L4950" s="122">
        <f>VLOOKUP(B4950,辅助信息!E:J,6,FALSE)</f>
        <v>0</v>
      </c>
      <c r="M4950" s="91">
        <v>45950</v>
      </c>
      <c r="O4950" s="62">
        <f ca="1" t="shared" si="236"/>
        <v>0</v>
      </c>
      <c r="P4950" s="62">
        <f ca="1" t="shared" si="237"/>
        <v>10</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6" t="s">
        <v>229</v>
      </c>
      <c r="C4951" s="104">
        <v>45954</v>
      </c>
      <c r="D4951" s="120" t="str">
        <f>VLOOKUP(B4951,辅助信息!E:K,7,FALSE)</f>
        <v>JWDDCD2025092400212</v>
      </c>
      <c r="E4951" s="120" t="str">
        <f>VLOOKUP(F4951,辅助信息!A:B,2,FALSE)</f>
        <v>螺纹钢</v>
      </c>
      <c r="F4951" s="120" t="s">
        <v>32</v>
      </c>
      <c r="G4951" s="121">
        <v>6</v>
      </c>
      <c r="H4951" s="134"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6" t="str">
        <f>VLOOKUP(B4951,辅助信息!E:I,3,FALSE)</f>
        <v>(五冶钢构龙泉东洪片区85亩住宅、商业及配套工程项目三标段)成都市龙泉驿外东洪路地铁2号线惠王陵地铁C口</v>
      </c>
      <c r="J4951" s="120" t="str">
        <f>VLOOKUP(B4951,辅助信息!E:I,4,FALSE)</f>
        <v>王军宝</v>
      </c>
      <c r="K4951" s="120">
        <f>VLOOKUP(J4951,辅助信息!H:I,2,FALSE)</f>
        <v>13889142392</v>
      </c>
      <c r="L4951" s="122">
        <f>VLOOKUP(B4951,辅助信息!E:J,6,FALSE)</f>
        <v>0</v>
      </c>
      <c r="M4951" s="91">
        <v>45950</v>
      </c>
      <c r="O4951" s="62">
        <f ca="1" t="shared" si="236"/>
        <v>0</v>
      </c>
      <c r="P4951" s="62">
        <f ca="1" t="shared" si="237"/>
        <v>10</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6" t="s">
        <v>229</v>
      </c>
      <c r="C4952" s="104">
        <v>45954</v>
      </c>
      <c r="D4952" s="120" t="str">
        <f>VLOOKUP(B4952,辅助信息!E:K,7,FALSE)</f>
        <v>JWDDCD2025092400212</v>
      </c>
      <c r="E4952" s="120" t="str">
        <f>VLOOKUP(F4952,辅助信息!A:B,2,FALSE)</f>
        <v>螺纹钢</v>
      </c>
      <c r="F4952" s="120" t="s">
        <v>30</v>
      </c>
      <c r="G4952" s="121">
        <v>9</v>
      </c>
      <c r="H4952" s="134"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6" t="str">
        <f>VLOOKUP(B4952,辅助信息!E:I,3,FALSE)</f>
        <v>(五冶钢构龙泉东洪片区85亩住宅、商业及配套工程项目三标段)成都市龙泉驿外东洪路地铁2号线惠王陵地铁C口</v>
      </c>
      <c r="J4952" s="120" t="str">
        <f>VLOOKUP(B4952,辅助信息!E:I,4,FALSE)</f>
        <v>王军宝</v>
      </c>
      <c r="K4952" s="120">
        <f>VLOOKUP(J4952,辅助信息!H:I,2,FALSE)</f>
        <v>13889142392</v>
      </c>
      <c r="L4952" s="122">
        <f>VLOOKUP(B4952,辅助信息!E:J,6,FALSE)</f>
        <v>0</v>
      </c>
      <c r="M4952" s="91">
        <v>45950</v>
      </c>
      <c r="O4952" s="62">
        <f ca="1" t="shared" si="236"/>
        <v>0</v>
      </c>
      <c r="P4952" s="62">
        <f ca="1" t="shared" si="237"/>
        <v>10</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6" t="s">
        <v>229</v>
      </c>
      <c r="C4953" s="104">
        <v>45954</v>
      </c>
      <c r="D4953" s="120" t="str">
        <f>VLOOKUP(B4953,辅助信息!E:K,7,FALSE)</f>
        <v>JWDDCD2025092400212</v>
      </c>
      <c r="E4953" s="120" t="str">
        <f>VLOOKUP(F4953,辅助信息!A:B,2,FALSE)</f>
        <v>螺纹钢</v>
      </c>
      <c r="F4953" s="120" t="s">
        <v>18</v>
      </c>
      <c r="G4953" s="121">
        <v>6</v>
      </c>
      <c r="H4953" s="134"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6" t="str">
        <f>VLOOKUP(B4953,辅助信息!E:I,3,FALSE)</f>
        <v>(五冶钢构龙泉东洪片区85亩住宅、商业及配套工程项目三标段)成都市龙泉驿外东洪路地铁2号线惠王陵地铁C口</v>
      </c>
      <c r="J4953" s="120" t="str">
        <f>VLOOKUP(B4953,辅助信息!E:I,4,FALSE)</f>
        <v>王军宝</v>
      </c>
      <c r="K4953" s="120">
        <f>VLOOKUP(J4953,辅助信息!H:I,2,FALSE)</f>
        <v>13889142392</v>
      </c>
      <c r="L4953" s="122">
        <f>VLOOKUP(B4953,辅助信息!E:J,6,FALSE)</f>
        <v>0</v>
      </c>
      <c r="M4953" s="91">
        <v>45950</v>
      </c>
      <c r="O4953" s="62">
        <f ca="1" t="shared" si="236"/>
        <v>0</v>
      </c>
      <c r="P4953" s="62">
        <f ca="1" t="shared" si="237"/>
        <v>10</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6" t="s">
        <v>229</v>
      </c>
      <c r="C4954" s="104">
        <v>45954</v>
      </c>
      <c r="D4954" s="120" t="str">
        <f>VLOOKUP(B4954,辅助信息!E:K,7,FALSE)</f>
        <v>JWDDCD2025092400212</v>
      </c>
      <c r="E4954" s="120" t="str">
        <f>VLOOKUP(F4954,辅助信息!A:B,2,FALSE)</f>
        <v>螺纹钢</v>
      </c>
      <c r="F4954" s="120" t="s">
        <v>66</v>
      </c>
      <c r="G4954" s="121">
        <v>6</v>
      </c>
      <c r="H4954" s="134"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6" t="str">
        <f>VLOOKUP(B4954,辅助信息!E:I,3,FALSE)</f>
        <v>(五冶钢构龙泉东洪片区85亩住宅、商业及配套工程项目三标段)成都市龙泉驿外东洪路地铁2号线惠王陵地铁C口</v>
      </c>
      <c r="J4954" s="120" t="str">
        <f>VLOOKUP(B4954,辅助信息!E:I,4,FALSE)</f>
        <v>王军宝</v>
      </c>
      <c r="K4954" s="120">
        <f>VLOOKUP(J4954,辅助信息!H:I,2,FALSE)</f>
        <v>13889142392</v>
      </c>
      <c r="L4954" s="122">
        <f>VLOOKUP(B4954,辅助信息!E:J,6,FALSE)</f>
        <v>0</v>
      </c>
      <c r="M4954" s="91">
        <v>45950</v>
      </c>
      <c r="O4954" s="62">
        <f ca="1" t="shared" si="236"/>
        <v>0</v>
      </c>
      <c r="P4954" s="62">
        <f ca="1" t="shared" si="237"/>
        <v>10</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6" t="s">
        <v>229</v>
      </c>
      <c r="C4955" s="104">
        <v>45954</v>
      </c>
      <c r="D4955" s="120" t="str">
        <f>VLOOKUP(B4955,辅助信息!E:K,7,FALSE)</f>
        <v>JWDDCD2025092400212</v>
      </c>
      <c r="E4955" s="120" t="str">
        <f>VLOOKUP(F4955,辅助信息!A:B,2,FALSE)</f>
        <v>螺纹钢</v>
      </c>
      <c r="F4955" s="120" t="s">
        <v>58</v>
      </c>
      <c r="G4955" s="121">
        <v>6</v>
      </c>
      <c r="H4955" s="134"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6" t="str">
        <f>VLOOKUP(B4955,辅助信息!E:I,3,FALSE)</f>
        <v>(五冶钢构龙泉东洪片区85亩住宅、商业及配套工程项目三标段)成都市龙泉驿外东洪路地铁2号线惠王陵地铁C口</v>
      </c>
      <c r="J4955" s="120" t="str">
        <f>VLOOKUP(B4955,辅助信息!E:I,4,FALSE)</f>
        <v>王军宝</v>
      </c>
      <c r="K4955" s="120">
        <f>VLOOKUP(J4955,辅助信息!H:I,2,FALSE)</f>
        <v>13889142392</v>
      </c>
      <c r="L4955" s="122">
        <f>VLOOKUP(B4955,辅助信息!E:J,6,FALSE)</f>
        <v>0</v>
      </c>
      <c r="M4955" s="91">
        <v>45950</v>
      </c>
      <c r="O4955" s="62">
        <f ca="1" t="shared" si="236"/>
        <v>0</v>
      </c>
      <c r="P4955" s="62">
        <f ca="1" t="shared" si="237"/>
        <v>10</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6" t="s">
        <v>229</v>
      </c>
      <c r="C4956" s="104">
        <v>45954</v>
      </c>
      <c r="D4956" s="120" t="str">
        <f>VLOOKUP(B4956,辅助信息!E:K,7,FALSE)</f>
        <v>JWDDCD2025092400212</v>
      </c>
      <c r="E4956" s="120" t="str">
        <f>VLOOKUP(F4956,辅助信息!A:B,2,FALSE)</f>
        <v>螺纹钢</v>
      </c>
      <c r="F4956" s="120" t="s">
        <v>46</v>
      </c>
      <c r="G4956" s="121">
        <v>9</v>
      </c>
      <c r="H4956" s="134"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6" t="str">
        <f>VLOOKUP(B4956,辅助信息!E:I,3,FALSE)</f>
        <v>(五冶钢构龙泉东洪片区85亩住宅、商业及配套工程项目三标段)成都市龙泉驿外东洪路地铁2号线惠王陵地铁C口</v>
      </c>
      <c r="J4956" s="120" t="str">
        <f>VLOOKUP(B4956,辅助信息!E:I,4,FALSE)</f>
        <v>王军宝</v>
      </c>
      <c r="K4956" s="120">
        <f>VLOOKUP(J4956,辅助信息!H:I,2,FALSE)</f>
        <v>13889142392</v>
      </c>
      <c r="L4956" s="122">
        <f>VLOOKUP(B4956,辅助信息!E:J,6,FALSE)</f>
        <v>0</v>
      </c>
      <c r="M4956" s="91">
        <v>45950</v>
      </c>
      <c r="O4956" s="62">
        <f ca="1" t="shared" si="236"/>
        <v>0</v>
      </c>
      <c r="P4956" s="62">
        <f ca="1" t="shared" si="237"/>
        <v>10</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6" t="s">
        <v>229</v>
      </c>
      <c r="C4957" s="104">
        <v>45954</v>
      </c>
      <c r="D4957" s="120" t="str">
        <f>VLOOKUP(B4957,辅助信息!E:K,7,FALSE)</f>
        <v>JWDDCD2025092400212</v>
      </c>
      <c r="E4957" s="120" t="str">
        <f>VLOOKUP(F4957,辅助信息!A:B,2,FALSE)</f>
        <v>螺纹钢</v>
      </c>
      <c r="F4957" s="120" t="s">
        <v>22</v>
      </c>
      <c r="G4957" s="121">
        <v>21</v>
      </c>
      <c r="H4957" s="134"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6" t="str">
        <f>VLOOKUP(B4957,辅助信息!E:I,3,FALSE)</f>
        <v>(五冶钢构龙泉东洪片区85亩住宅、商业及配套工程项目三标段)成都市龙泉驿外东洪路地铁2号线惠王陵地铁C口</v>
      </c>
      <c r="J4957" s="120" t="str">
        <f>VLOOKUP(B4957,辅助信息!E:I,4,FALSE)</f>
        <v>王军宝</v>
      </c>
      <c r="K4957" s="120">
        <f>VLOOKUP(J4957,辅助信息!H:I,2,FALSE)</f>
        <v>13889142392</v>
      </c>
      <c r="L4957" s="122">
        <f>VLOOKUP(B4957,辅助信息!E:J,6,FALSE)</f>
        <v>0</v>
      </c>
      <c r="M4957" s="91">
        <v>45950</v>
      </c>
      <c r="O4957" s="62">
        <f ca="1" t="shared" si="236"/>
        <v>0</v>
      </c>
      <c r="P4957" s="62">
        <f ca="1" t="shared" si="237"/>
        <v>10</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6" t="s">
        <v>228</v>
      </c>
      <c r="C4958" s="104">
        <v>45954</v>
      </c>
      <c r="D4958" s="120" t="str">
        <f>VLOOKUP(B4958,辅助信息!E:K,7,FALSE)</f>
        <v>JWDDCD2025092400190</v>
      </c>
      <c r="E4958" s="120" t="str">
        <f>VLOOKUP(F4958,辅助信息!A:B,2,FALSE)</f>
        <v>高线</v>
      </c>
      <c r="F4958" s="120" t="s">
        <v>53</v>
      </c>
      <c r="G4958" s="121">
        <v>2</v>
      </c>
      <c r="H4958" s="134"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6" t="str">
        <f>VLOOKUP(B4958,辅助信息!E:I,3,FALSE)</f>
        <v>(五冶钢构龙泉东洪片区70亩住宅、商业及配套工程项目二标段)成都市龙泉驿外东洪路地铁2号线惠王陵地铁C口</v>
      </c>
      <c r="J4958" s="120" t="str">
        <f>VLOOKUP(B4958,辅助信息!E:I,4,FALSE)</f>
        <v>蒋嗣伟</v>
      </c>
      <c r="K4958" s="120">
        <f>VLOOKUP(J4958,辅助信息!H:I,2,FALSE)</f>
        <v>15014331252</v>
      </c>
      <c r="L4958" s="122">
        <f>VLOOKUP(B4958,辅助信息!E:J,6,FALSE)</f>
        <v>0</v>
      </c>
      <c r="M4958" s="91">
        <v>45953</v>
      </c>
      <c r="O4958" s="62">
        <f ca="1" t="shared" si="236"/>
        <v>0</v>
      </c>
      <c r="P4958" s="62">
        <f ca="1" t="shared" si="237"/>
        <v>7</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6" t="s">
        <v>228</v>
      </c>
      <c r="C4959" s="104">
        <v>45954</v>
      </c>
      <c r="D4959" s="120" t="str">
        <f>VLOOKUP(B4959,辅助信息!E:K,7,FALSE)</f>
        <v>JWDDCD2025092400190</v>
      </c>
      <c r="E4959" s="120" t="str">
        <f>VLOOKUP(F4959,辅助信息!A:B,2,FALSE)</f>
        <v>盘螺</v>
      </c>
      <c r="F4959" s="120" t="s">
        <v>40</v>
      </c>
      <c r="G4959" s="121">
        <v>35</v>
      </c>
      <c r="H4959" s="134">
        <f>IF(SUMIFS('[1]2025年已发货'!$E:$E,'[1]2025年已发货'!$F:$F,C4959,'[1]2025年已发货'!$C:$C,F4959,'[1]2025年已发货'!$G:$G,I4959,'[1]2025年已发货'!$H:$H,J4959)=0,"未发货",SUMIFS('[1]2025年已发货'!$E:$E,'[1]2025年已发货'!$F:$F,C4959,'[1]2025年已发货'!$C:$C,F4959,'[1]2025年已发货'!$G:$G,I4959,'[1]2025年已发货'!$H:$H,J4959))</f>
        <v>35</v>
      </c>
      <c r="I4959" s="156" t="str">
        <f>VLOOKUP(B4959,辅助信息!E:I,3,FALSE)</f>
        <v>(五冶钢构龙泉东洪片区70亩住宅、商业及配套工程项目二标段)成都市龙泉驿外东洪路地铁2号线惠王陵地铁C口</v>
      </c>
      <c r="J4959" s="120" t="str">
        <f>VLOOKUP(B4959,辅助信息!E:I,4,FALSE)</f>
        <v>蒋嗣伟</v>
      </c>
      <c r="K4959" s="120">
        <f>VLOOKUP(J4959,辅助信息!H:I,2,FALSE)</f>
        <v>15014331252</v>
      </c>
      <c r="L4959" s="122">
        <f>VLOOKUP(B4959,辅助信息!E:J,6,FALSE)</f>
        <v>0</v>
      </c>
      <c r="M4959" s="91">
        <v>45953</v>
      </c>
      <c r="O4959" s="62">
        <f ca="1" t="shared" si="236"/>
        <v>0</v>
      </c>
      <c r="P4959" s="62">
        <f ca="1" t="shared" si="237"/>
        <v>7</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6" t="s">
        <v>228</v>
      </c>
      <c r="C4960" s="104">
        <v>45954</v>
      </c>
      <c r="D4960" s="120" t="str">
        <f>VLOOKUP(B4960,辅助信息!E:K,7,FALSE)</f>
        <v>JWDDCD2025092400190</v>
      </c>
      <c r="E4960" s="120" t="str">
        <f>VLOOKUP(F4960,辅助信息!A:B,2,FALSE)</f>
        <v>螺纹钢</v>
      </c>
      <c r="F4960" s="120" t="s">
        <v>27</v>
      </c>
      <c r="G4960" s="121">
        <v>35</v>
      </c>
      <c r="H4960" s="134">
        <f>IF(SUMIFS('[1]2025年已发货'!$E:$E,'[1]2025年已发货'!$F:$F,C4960,'[1]2025年已发货'!$C:$C,F4960,'[1]2025年已发货'!$G:$G,I4960,'[1]2025年已发货'!$H:$H,J4960)=0,"未发货",SUMIFS('[1]2025年已发货'!$E:$E,'[1]2025年已发货'!$F:$F,C4960,'[1]2025年已发货'!$C:$C,F4960,'[1]2025年已发货'!$G:$G,I4960,'[1]2025年已发货'!$H:$H,J4960))</f>
        <v>35</v>
      </c>
      <c r="I4960" s="156" t="str">
        <f>VLOOKUP(B4960,辅助信息!E:I,3,FALSE)</f>
        <v>(五冶钢构龙泉东洪片区70亩住宅、商业及配套工程项目二标段)成都市龙泉驿外东洪路地铁2号线惠王陵地铁C口</v>
      </c>
      <c r="J4960" s="120" t="str">
        <f>VLOOKUP(B4960,辅助信息!E:I,4,FALSE)</f>
        <v>蒋嗣伟</v>
      </c>
      <c r="K4960" s="120">
        <f>VLOOKUP(J4960,辅助信息!H:I,2,FALSE)</f>
        <v>15014331252</v>
      </c>
      <c r="L4960" s="122">
        <f>VLOOKUP(B4960,辅助信息!E:J,6,FALSE)</f>
        <v>0</v>
      </c>
      <c r="M4960" s="91">
        <v>45953</v>
      </c>
      <c r="O4960" s="62">
        <f ca="1" t="shared" si="236"/>
        <v>0</v>
      </c>
      <c r="P4960" s="62">
        <f ca="1" t="shared" si="237"/>
        <v>7</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6" t="s">
        <v>228</v>
      </c>
      <c r="C4961" s="104">
        <v>45954</v>
      </c>
      <c r="D4961" s="120" t="str">
        <f>VLOOKUP(B4961,辅助信息!E:K,7,FALSE)</f>
        <v>JWDDCD2025092400190</v>
      </c>
      <c r="E4961" s="120" t="str">
        <f>VLOOKUP(F4961,辅助信息!A:B,2,FALSE)</f>
        <v>螺纹钢</v>
      </c>
      <c r="F4961" s="120" t="s">
        <v>19</v>
      </c>
      <c r="G4961" s="121">
        <v>15</v>
      </c>
      <c r="H4961" s="134">
        <f>IF(SUMIFS('[1]2025年已发货'!$E:$E,'[1]2025年已发货'!$F:$F,C4961,'[1]2025年已发货'!$C:$C,F4961,'[1]2025年已发货'!$G:$G,I4961,'[1]2025年已发货'!$H:$H,J4961)=0,"未发货",SUMIFS('[1]2025年已发货'!$E:$E,'[1]2025年已发货'!$F:$F,C4961,'[1]2025年已发货'!$C:$C,F4961,'[1]2025年已发货'!$G:$G,I4961,'[1]2025年已发货'!$H:$H,J4961))</f>
        <v>15</v>
      </c>
      <c r="I4961" s="156" t="str">
        <f>VLOOKUP(B4961,辅助信息!E:I,3,FALSE)</f>
        <v>(五冶钢构龙泉东洪片区70亩住宅、商业及配套工程项目二标段)成都市龙泉驿外东洪路地铁2号线惠王陵地铁C口</v>
      </c>
      <c r="J4961" s="120" t="str">
        <f>VLOOKUP(B4961,辅助信息!E:I,4,FALSE)</f>
        <v>蒋嗣伟</v>
      </c>
      <c r="K4961" s="120">
        <f>VLOOKUP(J4961,辅助信息!H:I,2,FALSE)</f>
        <v>15014331252</v>
      </c>
      <c r="L4961" s="122">
        <f>VLOOKUP(B4961,辅助信息!E:J,6,FALSE)</f>
        <v>0</v>
      </c>
      <c r="M4961" s="91">
        <v>45953</v>
      </c>
      <c r="O4961" s="62">
        <f ca="1" t="shared" si="236"/>
        <v>0</v>
      </c>
      <c r="P4961" s="62">
        <f ca="1" t="shared" si="237"/>
        <v>7</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6" t="s">
        <v>228</v>
      </c>
      <c r="C4962" s="104">
        <v>45954</v>
      </c>
      <c r="D4962" s="120" t="str">
        <f>VLOOKUP(B4962,辅助信息!E:K,7,FALSE)</f>
        <v>JWDDCD2025092400190</v>
      </c>
      <c r="E4962" s="120" t="str">
        <f>VLOOKUP(F4962,辅助信息!A:B,2,FALSE)</f>
        <v>螺纹钢</v>
      </c>
      <c r="F4962" s="120" t="s">
        <v>32</v>
      </c>
      <c r="G4962" s="121">
        <v>35</v>
      </c>
      <c r="H4962" s="134">
        <f>IF(SUMIFS('[1]2025年已发货'!$E:$E,'[1]2025年已发货'!$F:$F,C4962,'[1]2025年已发货'!$C:$C,F4962,'[1]2025年已发货'!$G:$G,I4962,'[1]2025年已发货'!$H:$H,J4962)=0,"未发货",SUMIFS('[1]2025年已发货'!$E:$E,'[1]2025年已发货'!$F:$F,C4962,'[1]2025年已发货'!$C:$C,F4962,'[1]2025年已发货'!$G:$G,I4962,'[1]2025年已发货'!$H:$H,J4962))</f>
        <v>35</v>
      </c>
      <c r="I4962" s="156" t="str">
        <f>VLOOKUP(B4962,辅助信息!E:I,3,FALSE)</f>
        <v>(五冶钢构龙泉东洪片区70亩住宅、商业及配套工程项目二标段)成都市龙泉驿外东洪路地铁2号线惠王陵地铁C口</v>
      </c>
      <c r="J4962" s="120" t="str">
        <f>VLOOKUP(B4962,辅助信息!E:I,4,FALSE)</f>
        <v>蒋嗣伟</v>
      </c>
      <c r="K4962" s="120">
        <f>VLOOKUP(J4962,辅助信息!H:I,2,FALSE)</f>
        <v>15014331252</v>
      </c>
      <c r="L4962" s="122">
        <f>VLOOKUP(B4962,辅助信息!E:J,6,FALSE)</f>
        <v>0</v>
      </c>
      <c r="M4962" s="91">
        <v>45953</v>
      </c>
      <c r="O4962" s="62">
        <f ca="1" t="shared" si="236"/>
        <v>0</v>
      </c>
      <c r="P4962" s="62">
        <f ca="1" t="shared" si="237"/>
        <v>7</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6" t="s">
        <v>228</v>
      </c>
      <c r="C4963" s="104">
        <v>45954</v>
      </c>
      <c r="D4963" s="120" t="str">
        <f>VLOOKUP(B4963,辅助信息!E:K,7,FALSE)</f>
        <v>JWDDCD2025092400190</v>
      </c>
      <c r="E4963" s="120" t="str">
        <f>VLOOKUP(F4963,辅助信息!A:B,2,FALSE)</f>
        <v>螺纹钢</v>
      </c>
      <c r="F4963" s="120" t="s">
        <v>30</v>
      </c>
      <c r="G4963" s="121">
        <v>10</v>
      </c>
      <c r="H4963" s="134">
        <f>IF(SUMIFS('[1]2025年已发货'!$E:$E,'[1]2025年已发货'!$F:$F,C4963,'[1]2025年已发货'!$C:$C,F4963,'[1]2025年已发货'!$G:$G,I4963,'[1]2025年已发货'!$H:$H,J4963)=0,"未发货",SUMIFS('[1]2025年已发货'!$E:$E,'[1]2025年已发货'!$F:$F,C4963,'[1]2025年已发货'!$C:$C,F4963,'[1]2025年已发货'!$G:$G,I4963,'[1]2025年已发货'!$H:$H,J4963))</f>
        <v>7.5</v>
      </c>
      <c r="I4963" s="156" t="str">
        <f>VLOOKUP(B4963,辅助信息!E:I,3,FALSE)</f>
        <v>(五冶钢构龙泉东洪片区70亩住宅、商业及配套工程项目二标段)成都市龙泉驿外东洪路地铁2号线惠王陵地铁C口</v>
      </c>
      <c r="J4963" s="120" t="str">
        <f>VLOOKUP(B4963,辅助信息!E:I,4,FALSE)</f>
        <v>蒋嗣伟</v>
      </c>
      <c r="K4963" s="120">
        <f>VLOOKUP(J4963,辅助信息!H:I,2,FALSE)</f>
        <v>15014331252</v>
      </c>
      <c r="L4963" s="122">
        <f>VLOOKUP(B4963,辅助信息!E:J,6,FALSE)</f>
        <v>0</v>
      </c>
      <c r="M4963" s="91">
        <v>45953</v>
      </c>
      <c r="O4963" s="62">
        <f ca="1" t="shared" si="236"/>
        <v>0</v>
      </c>
      <c r="P4963" s="62">
        <f ca="1" t="shared" si="237"/>
        <v>7</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6" t="s">
        <v>228</v>
      </c>
      <c r="C4964" s="104">
        <v>45954</v>
      </c>
      <c r="D4964" s="120" t="str">
        <f>VLOOKUP(B4964,辅助信息!E:K,7,FALSE)</f>
        <v>JWDDCD2025092400190</v>
      </c>
      <c r="E4964" s="120" t="str">
        <f>VLOOKUP(F4964,辅助信息!A:B,2,FALSE)</f>
        <v>螺纹钢</v>
      </c>
      <c r="F4964" s="120" t="s">
        <v>33</v>
      </c>
      <c r="G4964" s="121">
        <v>12.5</v>
      </c>
      <c r="H4964" s="134">
        <f>IF(SUMIFS('[1]2025年已发货'!$E:$E,'[1]2025年已发货'!$F:$F,C4964,'[1]2025年已发货'!$C:$C,F4964,'[1]2025年已发货'!$G:$G,I4964,'[1]2025年已发货'!$H:$H,J4964)=0,"未发货",SUMIFS('[1]2025年已发货'!$E:$E,'[1]2025年已发货'!$F:$F,C4964,'[1]2025年已发货'!$C:$C,F4964,'[1]2025年已发货'!$G:$G,I4964,'[1]2025年已发货'!$H:$H,J4964))</f>
        <v>12.5</v>
      </c>
      <c r="I4964" s="156" t="str">
        <f>VLOOKUP(B4964,辅助信息!E:I,3,FALSE)</f>
        <v>(五冶钢构龙泉东洪片区70亩住宅、商业及配套工程项目二标段)成都市龙泉驿外东洪路地铁2号线惠王陵地铁C口</v>
      </c>
      <c r="J4964" s="120" t="str">
        <f>VLOOKUP(B4964,辅助信息!E:I,4,FALSE)</f>
        <v>蒋嗣伟</v>
      </c>
      <c r="K4964" s="120">
        <f>VLOOKUP(J4964,辅助信息!H:I,2,FALSE)</f>
        <v>15014331252</v>
      </c>
      <c r="L4964" s="122">
        <f>VLOOKUP(B4964,辅助信息!E:J,6,FALSE)</f>
        <v>0</v>
      </c>
      <c r="M4964" s="91">
        <v>45953</v>
      </c>
      <c r="O4964" s="62">
        <f ca="1" t="shared" ref="O4964:O5027" si="238">IF(OR(M4964="",N4964&lt;&gt;""),"",MAX(M4964-TODAY(),0))</f>
        <v>0</v>
      </c>
      <c r="P4964" s="62">
        <f ca="1" t="shared" ref="P4964:P5027" si="239">IF(M4964="","",IF(N4964&lt;&gt;"",MAX(N4964-M4964,0),IF(TODAY()&gt;M4964,TODAY()-M4964,0)))</f>
        <v>7</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6" t="s">
        <v>228</v>
      </c>
      <c r="C4965" s="104">
        <v>45954</v>
      </c>
      <c r="D4965" s="120" t="str">
        <f>VLOOKUP(B4965,辅助信息!E:K,7,FALSE)</f>
        <v>JWDDCD2025092400190</v>
      </c>
      <c r="E4965" s="120" t="str">
        <f>VLOOKUP(F4965,辅助信息!A:B,2,FALSE)</f>
        <v>螺纹钢</v>
      </c>
      <c r="F4965" s="120" t="s">
        <v>28</v>
      </c>
      <c r="G4965" s="121">
        <v>15</v>
      </c>
      <c r="H4965" s="134">
        <f>IF(SUMIFS('[1]2025年已发货'!$E:$E,'[1]2025年已发货'!$F:$F,C4965,'[1]2025年已发货'!$C:$C,F4965,'[1]2025年已发货'!$G:$G,I4965,'[1]2025年已发货'!$H:$H,J4965)=0,"未发货",SUMIFS('[1]2025年已发货'!$E:$E,'[1]2025年已发货'!$F:$F,C4965,'[1]2025年已发货'!$C:$C,F4965,'[1]2025年已发货'!$G:$G,I4965,'[1]2025年已发货'!$H:$H,J4965))</f>
        <v>15</v>
      </c>
      <c r="I4965" s="156" t="str">
        <f>VLOOKUP(B4965,辅助信息!E:I,3,FALSE)</f>
        <v>(五冶钢构龙泉东洪片区70亩住宅、商业及配套工程项目二标段)成都市龙泉驿外东洪路地铁2号线惠王陵地铁C口</v>
      </c>
      <c r="J4965" s="120" t="str">
        <f>VLOOKUP(B4965,辅助信息!E:I,4,FALSE)</f>
        <v>蒋嗣伟</v>
      </c>
      <c r="K4965" s="120">
        <f>VLOOKUP(J4965,辅助信息!H:I,2,FALSE)</f>
        <v>15014331252</v>
      </c>
      <c r="L4965" s="122">
        <f>VLOOKUP(B4965,辅助信息!E:J,6,FALSE)</f>
        <v>0</v>
      </c>
      <c r="M4965" s="91">
        <v>45953</v>
      </c>
      <c r="O4965" s="62">
        <f ca="1" t="shared" si="238"/>
        <v>0</v>
      </c>
      <c r="P4965" s="62">
        <f ca="1" t="shared" si="239"/>
        <v>7</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6" t="s">
        <v>228</v>
      </c>
      <c r="C4966" s="104">
        <v>45954</v>
      </c>
      <c r="D4966" s="120" t="str">
        <f>VLOOKUP(B4966,辅助信息!E:K,7,FALSE)</f>
        <v>JWDDCD2025092400190</v>
      </c>
      <c r="E4966" s="120" t="str">
        <f>VLOOKUP(F4966,辅助信息!A:B,2,FALSE)</f>
        <v>螺纹钢</v>
      </c>
      <c r="F4966" s="120" t="s">
        <v>18</v>
      </c>
      <c r="G4966" s="121">
        <v>15</v>
      </c>
      <c r="H4966" s="134">
        <f>IF(SUMIFS('[1]2025年已发货'!$E:$E,'[1]2025年已发货'!$F:$F,C4966,'[1]2025年已发货'!$C:$C,F4966,'[1]2025年已发货'!$G:$G,I4966,'[1]2025年已发货'!$H:$H,J4966)=0,"未发货",SUMIFS('[1]2025年已发货'!$E:$E,'[1]2025年已发货'!$F:$F,C4966,'[1]2025年已发货'!$C:$C,F4966,'[1]2025年已发货'!$G:$G,I4966,'[1]2025年已发货'!$H:$H,J4966))</f>
        <v>15</v>
      </c>
      <c r="I4966" s="156" t="str">
        <f>VLOOKUP(B4966,辅助信息!E:I,3,FALSE)</f>
        <v>(五冶钢构龙泉东洪片区70亩住宅、商业及配套工程项目二标段)成都市龙泉驿外东洪路地铁2号线惠王陵地铁C口</v>
      </c>
      <c r="J4966" s="120" t="str">
        <f>VLOOKUP(B4966,辅助信息!E:I,4,FALSE)</f>
        <v>蒋嗣伟</v>
      </c>
      <c r="K4966" s="120">
        <f>VLOOKUP(J4966,辅助信息!H:I,2,FALSE)</f>
        <v>15014331252</v>
      </c>
      <c r="L4966" s="122">
        <f>VLOOKUP(B4966,辅助信息!E:J,6,FALSE)</f>
        <v>0</v>
      </c>
      <c r="M4966" s="91">
        <v>45953</v>
      </c>
      <c r="O4966" s="62">
        <f ca="1" t="shared" si="238"/>
        <v>0</v>
      </c>
      <c r="P4966" s="62">
        <f ca="1" t="shared" si="239"/>
        <v>7</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5" t="s">
        <v>112</v>
      </c>
      <c r="C4967" s="104">
        <v>45954</v>
      </c>
      <c r="D4967" s="40" t="str">
        <f>VLOOKUP(B4967,辅助信息!E:K,7,FALSE)</f>
        <v>JWDDCD2025052800131</v>
      </c>
      <c r="E4967" s="40" t="str">
        <f>VLOOKUP(F4967,辅助信息!A:B,2,FALSE)</f>
        <v>盘螺</v>
      </c>
      <c r="F4967" s="40" t="s">
        <v>49</v>
      </c>
      <c r="G4967" s="36">
        <v>3</v>
      </c>
      <c r="H4967" s="134">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09" t="str">
        <f>VLOOKUP(B4967,辅助信息!E:J,6,FALSE)</f>
        <v>控制炉批号！多了现场不收！,优先安排达钢,提前联系到场规格及数量</v>
      </c>
      <c r="M4967" s="91">
        <v>45954</v>
      </c>
      <c r="O4967" s="62">
        <f ca="1" t="shared" si="238"/>
        <v>0</v>
      </c>
      <c r="P4967" s="62">
        <f ca="1" t="shared" si="239"/>
        <v>6</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5" t="s">
        <v>112</v>
      </c>
      <c r="C4968" s="104">
        <v>45954</v>
      </c>
      <c r="D4968" s="40" t="str">
        <f>VLOOKUP(B4968,辅助信息!E:K,7,FALSE)</f>
        <v>JWDDCD2025052800131</v>
      </c>
      <c r="E4968" s="40" t="str">
        <f>VLOOKUP(F4968,辅助信息!A:B,2,FALSE)</f>
        <v>盘螺</v>
      </c>
      <c r="F4968" s="40" t="s">
        <v>40</v>
      </c>
      <c r="G4968" s="36">
        <v>45</v>
      </c>
      <c r="H4968" s="134">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09" t="str">
        <f>VLOOKUP(B4968,辅助信息!E:J,6,FALSE)</f>
        <v>控制炉批号！多了现场不收！,优先安排达钢,提前联系到场规格及数量</v>
      </c>
      <c r="M4968" s="91">
        <v>45954</v>
      </c>
      <c r="O4968" s="62">
        <f ca="1" t="shared" si="238"/>
        <v>0</v>
      </c>
      <c r="P4968" s="62">
        <f ca="1" t="shared" si="239"/>
        <v>6</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5" t="s">
        <v>112</v>
      </c>
      <c r="C4969" s="104">
        <v>45954</v>
      </c>
      <c r="D4969" s="40" t="str">
        <f>VLOOKUP(B4969,辅助信息!E:K,7,FALSE)</f>
        <v>JWDDCD2025052800131</v>
      </c>
      <c r="E4969" s="40" t="str">
        <f>VLOOKUP(F4969,辅助信息!A:B,2,FALSE)</f>
        <v>螺纹钢</v>
      </c>
      <c r="F4969" s="40" t="s">
        <v>32</v>
      </c>
      <c r="G4969" s="36">
        <v>3</v>
      </c>
      <c r="H4969" s="134">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09" t="str">
        <f>VLOOKUP(B4969,辅助信息!E:J,6,FALSE)</f>
        <v>控制炉批号！多了现场不收！,优先安排达钢,提前联系到场规格及数量</v>
      </c>
      <c r="M4969" s="91">
        <v>45954</v>
      </c>
      <c r="O4969" s="62">
        <f ca="1" t="shared" si="238"/>
        <v>0</v>
      </c>
      <c r="P4969" s="62">
        <f ca="1" t="shared" si="239"/>
        <v>6</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5" t="s">
        <v>112</v>
      </c>
      <c r="C4970" s="104">
        <v>45954</v>
      </c>
      <c r="D4970" s="40" t="str">
        <f>VLOOKUP(B4970,辅助信息!E:K,7,FALSE)</f>
        <v>JWDDCD2025052800131</v>
      </c>
      <c r="E4970" s="40" t="str">
        <f>VLOOKUP(F4970,辅助信息!A:B,2,FALSE)</f>
        <v>螺纹钢</v>
      </c>
      <c r="F4970" s="40" t="s">
        <v>21</v>
      </c>
      <c r="G4970" s="36">
        <v>6</v>
      </c>
      <c r="H4970" s="134">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09" t="str">
        <f>VLOOKUP(B4970,辅助信息!E:J,6,FALSE)</f>
        <v>控制炉批号！多了现场不收！,优先安排达钢,提前联系到场规格及数量</v>
      </c>
      <c r="M4970" s="91">
        <v>45954</v>
      </c>
      <c r="O4970" s="62">
        <f ca="1" t="shared" si="238"/>
        <v>0</v>
      </c>
      <c r="P4970" s="62">
        <f ca="1" t="shared" si="239"/>
        <v>6</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5" t="s">
        <v>112</v>
      </c>
      <c r="C4971" s="104">
        <v>45954</v>
      </c>
      <c r="D4971" s="40" t="str">
        <f>VLOOKUP(B4971,辅助信息!E:K,7,FALSE)</f>
        <v>JWDDCD2025052800131</v>
      </c>
      <c r="E4971" s="40" t="str">
        <f>VLOOKUP(F4971,辅助信息!A:B,2,FALSE)</f>
        <v>螺纹钢</v>
      </c>
      <c r="F4971" s="40" t="s">
        <v>58</v>
      </c>
      <c r="G4971" s="36">
        <v>6</v>
      </c>
      <c r="H4971" s="134">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09" t="str">
        <f>VLOOKUP(B4971,辅助信息!E:J,6,FALSE)</f>
        <v>控制炉批号！多了现场不收！,优先安排达钢,提前联系到场规格及数量</v>
      </c>
      <c r="M4971" s="91">
        <v>45954</v>
      </c>
      <c r="O4971" s="62">
        <f ca="1" t="shared" si="238"/>
        <v>0</v>
      </c>
      <c r="P4971" s="62">
        <f ca="1" t="shared" si="239"/>
        <v>6</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5" t="s">
        <v>112</v>
      </c>
      <c r="C4972" s="104">
        <v>45954</v>
      </c>
      <c r="D4972" s="40" t="str">
        <f>VLOOKUP(B4972,辅助信息!E:K,7,FALSE)</f>
        <v>JWDDCD2025052800131</v>
      </c>
      <c r="E4972" s="40" t="str">
        <f>VLOOKUP(F4972,辅助信息!A:B,2,FALSE)</f>
        <v>螺纹钢</v>
      </c>
      <c r="F4972" s="40" t="s">
        <v>46</v>
      </c>
      <c r="G4972" s="36">
        <v>3</v>
      </c>
      <c r="H4972" s="134">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09" t="str">
        <f>VLOOKUP(B4972,辅助信息!E:J,6,FALSE)</f>
        <v>控制炉批号！多了现场不收！,优先安排达钢,提前联系到场规格及数量</v>
      </c>
      <c r="M4972" s="91">
        <v>45954</v>
      </c>
      <c r="O4972" s="62">
        <f ca="1" t="shared" si="238"/>
        <v>0</v>
      </c>
      <c r="P4972" s="62">
        <f ca="1" t="shared" si="239"/>
        <v>6</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5" t="s">
        <v>81</v>
      </c>
      <c r="C4973" s="104">
        <v>45954</v>
      </c>
      <c r="D4973" s="40" t="str">
        <f>VLOOKUP(B4973,辅助信息!E:K,7,FALSE)</f>
        <v>JWDDCD2025060900080</v>
      </c>
      <c r="E4973" s="40" t="str">
        <f>VLOOKUP(F4973,辅助信息!A:B,2,FALSE)</f>
        <v>盘螺</v>
      </c>
      <c r="F4973" s="40" t="s">
        <v>40</v>
      </c>
      <c r="G4973" s="36">
        <v>8</v>
      </c>
      <c r="H4973" s="134">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09" t="str">
        <f>VLOOKUP(B4973,辅助信息!E:J,6,FALSE)</f>
        <v>现场禁止使用氢能源挂车！优先威钢发货,我方卸车,新老国标钢厂不加价可直发，因陕钢多次出现磅差，项目拒绝使用</v>
      </c>
      <c r="M4973" s="91" t="s">
        <v>242</v>
      </c>
      <c r="O4973" s="62" t="e">
        <f ca="1" t="shared" si="238"/>
        <v>#VALUE!</v>
      </c>
      <c r="P4973" s="62">
        <f ca="1" t="shared" si="239"/>
        <v>0</v>
      </c>
      <c r="Q4973" s="29" t="str">
        <f>VLOOKUP(B4973,辅助信息!E:M,9,FALSE)</f>
        <v>ZTWM-CDGS-XS-2024-0030-华西集采-简州大道</v>
      </c>
      <c r="R4973" s="29" t="str">
        <f>_xlfn._xlws.FILTER(辅助信息!D:D,辅助信息!E:E=B4973)</f>
        <v>华西简阳西城嘉苑</v>
      </c>
    </row>
    <row r="4974" hidden="1" spans="2:18">
      <c r="B4974" s="135" t="s">
        <v>81</v>
      </c>
      <c r="C4974" s="104">
        <v>45954</v>
      </c>
      <c r="D4974" s="40" t="str">
        <f>VLOOKUP(B4974,辅助信息!E:K,7,FALSE)</f>
        <v>JWDDCD2025060900080</v>
      </c>
      <c r="E4974" s="40" t="str">
        <f>VLOOKUP(F4974,辅助信息!A:B,2,FALSE)</f>
        <v>盘螺</v>
      </c>
      <c r="F4974" s="40" t="s">
        <v>41</v>
      </c>
      <c r="G4974" s="36">
        <v>60</v>
      </c>
      <c r="H4974" s="134">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09" t="str">
        <f>VLOOKUP(B4974,辅助信息!E:J,6,FALSE)</f>
        <v>现场禁止使用氢能源挂车！优先威钢发货,我方卸车,新老国标钢厂不加价可直发，因陕钢多次出现磅差，项目拒绝使用</v>
      </c>
      <c r="M4974" s="91">
        <v>45954</v>
      </c>
      <c r="O4974" s="62">
        <f ca="1" t="shared" si="238"/>
        <v>0</v>
      </c>
      <c r="P4974" s="62">
        <f ca="1" t="shared" si="239"/>
        <v>6</v>
      </c>
      <c r="Q4974" s="29" t="str">
        <f>VLOOKUP(B4974,辅助信息!E:M,9,FALSE)</f>
        <v>ZTWM-CDGS-XS-2024-0030-华西集采-简州大道</v>
      </c>
      <c r="R4974" s="29" t="str">
        <f>_xlfn._xlws.FILTER(辅助信息!D:D,辅助信息!E:E=B4974)</f>
        <v>华西简阳西城嘉苑</v>
      </c>
    </row>
    <row r="4975" hidden="1" spans="2:18">
      <c r="B4975" s="135" t="s">
        <v>81</v>
      </c>
      <c r="C4975" s="104">
        <v>45954</v>
      </c>
      <c r="D4975" s="40" t="str">
        <f>VLOOKUP(B4975,辅助信息!E:K,7,FALSE)</f>
        <v>JWDDCD2025060900080</v>
      </c>
      <c r="E4975" s="40" t="str">
        <f>VLOOKUP(F4975,辅助信息!A:B,2,FALSE)</f>
        <v>盘螺</v>
      </c>
      <c r="F4975" s="40" t="s">
        <v>26</v>
      </c>
      <c r="G4975" s="36">
        <v>5</v>
      </c>
      <c r="H4975" s="134"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09" t="str">
        <f>VLOOKUP(B4975,辅助信息!E:J,6,FALSE)</f>
        <v>现场禁止使用氢能源挂车！优先威钢发货,我方卸车,新老国标钢厂不加价可直发，因陕钢多次出现磅差，项目拒绝使用</v>
      </c>
      <c r="M4975" s="91">
        <v>45954</v>
      </c>
      <c r="O4975" s="62">
        <f ca="1" t="shared" si="238"/>
        <v>0</v>
      </c>
      <c r="P4975" s="62">
        <f ca="1" t="shared" si="239"/>
        <v>6</v>
      </c>
      <c r="Q4975" s="29" t="str">
        <f>VLOOKUP(B4975,辅助信息!E:M,9,FALSE)</f>
        <v>ZTWM-CDGS-XS-2024-0030-华西集采-简州大道</v>
      </c>
      <c r="R4975" s="29" t="str">
        <f>_xlfn._xlws.FILTER(辅助信息!D:D,辅助信息!E:E=B4975)</f>
        <v>华西简阳西城嘉苑</v>
      </c>
    </row>
    <row r="4976" hidden="1" spans="2:18">
      <c r="B4976" s="135" t="s">
        <v>81</v>
      </c>
      <c r="C4976" s="104">
        <v>45954</v>
      </c>
      <c r="D4976" s="40" t="str">
        <f>VLOOKUP(B4976,辅助信息!E:K,7,FALSE)</f>
        <v>JWDDCD2025060900080</v>
      </c>
      <c r="E4976" s="40" t="str">
        <f>VLOOKUP(F4976,辅助信息!A:B,2,FALSE)</f>
        <v>螺纹钢</v>
      </c>
      <c r="F4976" s="40" t="s">
        <v>32</v>
      </c>
      <c r="G4976" s="36">
        <v>15</v>
      </c>
      <c r="H4976" s="134">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09" t="str">
        <f>VLOOKUP(B4976,辅助信息!E:J,6,FALSE)</f>
        <v>现场禁止使用氢能源挂车！优先威钢发货,我方卸车,新老国标钢厂不加价可直发，因陕钢多次出现磅差，项目拒绝使用</v>
      </c>
      <c r="M4976" s="91">
        <v>45954</v>
      </c>
      <c r="O4976" s="62">
        <f ca="1" t="shared" si="238"/>
        <v>0</v>
      </c>
      <c r="P4976" s="62">
        <f ca="1" t="shared" si="239"/>
        <v>6</v>
      </c>
      <c r="Q4976" s="29" t="str">
        <f>VLOOKUP(B4976,辅助信息!E:M,9,FALSE)</f>
        <v>ZTWM-CDGS-XS-2024-0030-华西集采-简州大道</v>
      </c>
      <c r="R4976" s="29" t="str">
        <f>_xlfn._xlws.FILTER(辅助信息!D:D,辅助信息!E:E=B4976)</f>
        <v>华西简阳西城嘉苑</v>
      </c>
    </row>
    <row r="4977" hidden="1" spans="2:18">
      <c r="B4977" s="135" t="s">
        <v>81</v>
      </c>
      <c r="C4977" s="104">
        <v>45954</v>
      </c>
      <c r="D4977" s="40" t="str">
        <f>VLOOKUP(B4977,辅助信息!E:K,7,FALSE)</f>
        <v>JWDDCD2025060900080</v>
      </c>
      <c r="E4977" s="40" t="str">
        <f>VLOOKUP(F4977,辅助信息!A:B,2,FALSE)</f>
        <v>螺纹钢</v>
      </c>
      <c r="F4977" s="40" t="s">
        <v>58</v>
      </c>
      <c r="G4977" s="36">
        <v>5</v>
      </c>
      <c r="H4977" s="134">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09" t="str">
        <f>VLOOKUP(B4977,辅助信息!E:J,6,FALSE)</f>
        <v>现场禁止使用氢能源挂车！优先威钢发货,我方卸车,新老国标钢厂不加价可直发，因陕钢多次出现磅差，项目拒绝使用</v>
      </c>
      <c r="M4977" s="91">
        <v>45954</v>
      </c>
      <c r="O4977" s="62">
        <f ca="1" t="shared" si="238"/>
        <v>0</v>
      </c>
      <c r="P4977" s="62">
        <f ca="1" t="shared" si="239"/>
        <v>6</v>
      </c>
      <c r="Q4977" s="29" t="str">
        <f>VLOOKUP(B4977,辅助信息!E:M,9,FALSE)</f>
        <v>ZTWM-CDGS-XS-2024-0030-华西集采-简州大道</v>
      </c>
      <c r="R4977" s="29" t="str">
        <f>_xlfn._xlws.FILTER(辅助信息!D:D,辅助信息!E:E=B4977)</f>
        <v>华西简阳西城嘉苑</v>
      </c>
    </row>
    <row r="4978" hidden="1" spans="2:18">
      <c r="B4978" s="135" t="s">
        <v>81</v>
      </c>
      <c r="C4978" s="104">
        <v>45954</v>
      </c>
      <c r="D4978" s="40" t="str">
        <f>VLOOKUP(B4978,辅助信息!E:K,7,FALSE)</f>
        <v>JWDDCD2025060900080</v>
      </c>
      <c r="E4978" s="40" t="str">
        <f>VLOOKUP(F4978,辅助信息!A:B,2,FALSE)</f>
        <v>螺纹钢</v>
      </c>
      <c r="F4978" s="40" t="s">
        <v>22</v>
      </c>
      <c r="G4978" s="36">
        <v>14</v>
      </c>
      <c r="H4978" s="134">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09" t="str">
        <f>VLOOKUP(B4978,辅助信息!E:J,6,FALSE)</f>
        <v>现场禁止使用氢能源挂车！优先威钢发货,我方卸车,新老国标钢厂不加价可直发，因陕钢多次出现磅差，项目拒绝使用</v>
      </c>
      <c r="M4978" s="91">
        <v>45954</v>
      </c>
      <c r="O4978" s="62">
        <f ca="1" t="shared" si="238"/>
        <v>0</v>
      </c>
      <c r="P4978" s="62">
        <f ca="1" t="shared" si="239"/>
        <v>6</v>
      </c>
      <c r="Q4978" s="29" t="str">
        <f>VLOOKUP(B4978,辅助信息!E:M,9,FALSE)</f>
        <v>ZTWM-CDGS-XS-2024-0030-华西集采-简州大道</v>
      </c>
      <c r="R4978" s="29" t="str">
        <f>_xlfn._xlws.FILTER(辅助信息!D:D,辅助信息!E:E=B4978)</f>
        <v>华西简阳西城嘉苑</v>
      </c>
    </row>
    <row r="4979" hidden="1" spans="2:18">
      <c r="B4979" s="135" t="s">
        <v>68</v>
      </c>
      <c r="C4979" s="104">
        <v>45954</v>
      </c>
      <c r="D4979" s="40" t="str">
        <f>VLOOKUP(B4979,辅助信息!E:K,7,FALSE)</f>
        <v>JWDDCD2025052800131</v>
      </c>
      <c r="E4979" s="40" t="str">
        <f>VLOOKUP(F4979,辅助信息!A:B,2,FALSE)</f>
        <v>螺纹钢</v>
      </c>
      <c r="F4979" s="40" t="s">
        <v>30</v>
      </c>
      <c r="G4979" s="36">
        <v>12</v>
      </c>
      <c r="H4979" s="134"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09" t="str">
        <f>VLOOKUP(B4979,辅助信息!E:J,6,FALSE)</f>
        <v>控制炉批号！多了现场不收！,优先安排达钢,提前联系到场规格及数量</v>
      </c>
      <c r="M4979" s="91">
        <v>45954</v>
      </c>
      <c r="O4979" s="62">
        <f ca="1" t="shared" si="238"/>
        <v>0</v>
      </c>
      <c r="P4979" s="62">
        <f ca="1" t="shared" si="239"/>
        <v>6</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5" t="s">
        <v>68</v>
      </c>
      <c r="C4980" s="104">
        <v>45954</v>
      </c>
      <c r="D4980" s="40" t="str">
        <f>VLOOKUP(B4980,辅助信息!E:K,7,FALSE)</f>
        <v>JWDDCD2025052800131</v>
      </c>
      <c r="E4980" s="40" t="str">
        <f>VLOOKUP(F4980,辅助信息!A:B,2,FALSE)</f>
        <v>螺纹钢</v>
      </c>
      <c r="F4980" s="40" t="s">
        <v>21</v>
      </c>
      <c r="G4980" s="36">
        <v>15</v>
      </c>
      <c r="H4980" s="134"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09" t="str">
        <f>VLOOKUP(B4980,辅助信息!E:J,6,FALSE)</f>
        <v>控制炉批号！多了现场不收！,优先安排达钢,提前联系到场规格及数量</v>
      </c>
      <c r="M4980" s="91">
        <v>45954</v>
      </c>
      <c r="O4980" s="62">
        <f ca="1" t="shared" si="238"/>
        <v>0</v>
      </c>
      <c r="P4980" s="62">
        <f ca="1" t="shared" si="239"/>
        <v>6</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5" t="s">
        <v>68</v>
      </c>
      <c r="C4981" s="104">
        <v>45954</v>
      </c>
      <c r="D4981" s="40" t="str">
        <f>VLOOKUP(B4981,辅助信息!E:K,7,FALSE)</f>
        <v>JWDDCD2025052800131</v>
      </c>
      <c r="E4981" s="40" t="str">
        <f>VLOOKUP(F4981,辅助信息!A:B,2,FALSE)</f>
        <v>螺纹钢</v>
      </c>
      <c r="F4981" s="40" t="s">
        <v>58</v>
      </c>
      <c r="G4981" s="36">
        <v>3</v>
      </c>
      <c r="H4981" s="134"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09" t="str">
        <f>VLOOKUP(B4981,辅助信息!E:J,6,FALSE)</f>
        <v>控制炉批号！多了现场不收！,优先安排达钢,提前联系到场规格及数量</v>
      </c>
      <c r="M4981" s="91">
        <v>45954</v>
      </c>
      <c r="O4981" s="62">
        <f ca="1" t="shared" si="238"/>
        <v>0</v>
      </c>
      <c r="P4981" s="62">
        <f ca="1" t="shared" si="239"/>
        <v>6</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5" t="s">
        <v>167</v>
      </c>
      <c r="C4982" s="104">
        <v>45954</v>
      </c>
      <c r="D4982" s="40" t="str">
        <f>VLOOKUP(B4982,辅助信息!E:K,7,FALSE)</f>
        <v>JWDDCD2025102100473</v>
      </c>
      <c r="E4982" s="40" t="str">
        <f>VLOOKUP(F4982,辅助信息!A:B,2,FALSE)</f>
        <v>盘螺</v>
      </c>
      <c r="F4982" s="40" t="s">
        <v>40</v>
      </c>
      <c r="G4982" s="36">
        <v>8</v>
      </c>
      <c r="H4982" s="134"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09"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2" t="str">
        <f ca="1" t="shared" si="238"/>
        <v/>
      </c>
      <c r="P4982" s="62"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5" t="s">
        <v>167</v>
      </c>
      <c r="C4983" s="104">
        <v>45954</v>
      </c>
      <c r="D4983" s="40" t="str">
        <f>VLOOKUP(B4983,辅助信息!E:K,7,FALSE)</f>
        <v>JWDDCD2025102100473</v>
      </c>
      <c r="E4983" s="40" t="str">
        <f>VLOOKUP(F4983,辅助信息!A:B,2,FALSE)</f>
        <v>盘螺</v>
      </c>
      <c r="F4983" s="40" t="s">
        <v>41</v>
      </c>
      <c r="G4983" s="36">
        <v>8</v>
      </c>
      <c r="H4983" s="134"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09"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2" t="str">
        <f ca="1" t="shared" si="238"/>
        <v/>
      </c>
      <c r="P4983" s="62"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5" t="s">
        <v>167</v>
      </c>
      <c r="C4984" s="104">
        <v>45954</v>
      </c>
      <c r="D4984" s="40" t="str">
        <f>VLOOKUP(B4984,辅助信息!E:K,7,FALSE)</f>
        <v>JWDDCD2025102100473</v>
      </c>
      <c r="E4984" s="40" t="str">
        <f>VLOOKUP(F4984,辅助信息!A:B,2,FALSE)</f>
        <v>螺纹钢</v>
      </c>
      <c r="F4984" s="40" t="s">
        <v>27</v>
      </c>
      <c r="G4984" s="36">
        <v>66</v>
      </c>
      <c r="H4984" s="134">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09"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2" t="str">
        <f ca="1" t="shared" si="238"/>
        <v/>
      </c>
      <c r="P4984" s="62"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5" t="s">
        <v>167</v>
      </c>
      <c r="C4985" s="104">
        <v>45954</v>
      </c>
      <c r="D4985" s="40" t="str">
        <f>VLOOKUP(B4985,辅助信息!E:K,7,FALSE)</f>
        <v>JWDDCD2025102100473</v>
      </c>
      <c r="E4985" s="40" t="str">
        <f>VLOOKUP(F4985,辅助信息!A:B,2,FALSE)</f>
        <v>螺纹钢</v>
      </c>
      <c r="F4985" s="40" t="s">
        <v>30</v>
      </c>
      <c r="G4985" s="36">
        <v>3</v>
      </c>
      <c r="H4985" s="134"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09"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2" t="str">
        <f ca="1" t="shared" si="238"/>
        <v/>
      </c>
      <c r="P4985" s="62"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5" t="s">
        <v>167</v>
      </c>
      <c r="C4986" s="104">
        <v>45954</v>
      </c>
      <c r="D4986" s="40" t="str">
        <f>VLOOKUP(B4986,辅助信息!E:K,7,FALSE)</f>
        <v>JWDDCD2025102100473</v>
      </c>
      <c r="E4986" s="40" t="str">
        <f>VLOOKUP(F4986,辅助信息!A:B,2,FALSE)</f>
        <v>螺纹钢</v>
      </c>
      <c r="F4986" s="40" t="s">
        <v>66</v>
      </c>
      <c r="G4986" s="36">
        <v>6</v>
      </c>
      <c r="H4986" s="134"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09"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2" t="str">
        <f ca="1" t="shared" si="238"/>
        <v/>
      </c>
      <c r="P4986" s="62"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5" t="s">
        <v>167</v>
      </c>
      <c r="C4987" s="104">
        <v>45954</v>
      </c>
      <c r="D4987" s="40" t="str">
        <f>VLOOKUP(B4987,辅助信息!E:K,7,FALSE)</f>
        <v>JWDDCD2025102100473</v>
      </c>
      <c r="E4987" s="40" t="str">
        <f>VLOOKUP(F4987,辅助信息!A:B,2,FALSE)</f>
        <v>螺纹钢</v>
      </c>
      <c r="F4987" s="40" t="s">
        <v>82</v>
      </c>
      <c r="G4987" s="36">
        <v>3</v>
      </c>
      <c r="H4987" s="134"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09"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2" t="str">
        <f ca="1" t="shared" si="238"/>
        <v/>
      </c>
      <c r="P4987" s="62"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5" t="s">
        <v>167</v>
      </c>
      <c r="C4988" s="104">
        <v>45954</v>
      </c>
      <c r="D4988" s="40" t="str">
        <f>VLOOKUP(B4988,辅助信息!E:K,7,FALSE)</f>
        <v>JWDDCD2025102100473</v>
      </c>
      <c r="E4988" s="40" t="str">
        <f>VLOOKUP(F4988,辅助信息!A:B,2,FALSE)</f>
        <v>螺纹钢</v>
      </c>
      <c r="F4988" s="40" t="s">
        <v>45</v>
      </c>
      <c r="G4988" s="36">
        <v>6</v>
      </c>
      <c r="H4988" s="134"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09"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2" t="str">
        <f ca="1" t="shared" si="238"/>
        <v/>
      </c>
      <c r="P4988" s="62"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5" t="s">
        <v>167</v>
      </c>
      <c r="C4989" s="104">
        <v>45954</v>
      </c>
      <c r="D4989" s="40" t="str">
        <f>VLOOKUP(B4989,辅助信息!E:K,7,FALSE)</f>
        <v>JWDDCD2025102100473</v>
      </c>
      <c r="E4989" s="40" t="str">
        <f>VLOOKUP(F4989,辅助信息!A:B,2,FALSE)</f>
        <v>螺纹钢</v>
      </c>
      <c r="F4989" s="40" t="s">
        <v>22</v>
      </c>
      <c r="G4989" s="36">
        <v>40</v>
      </c>
      <c r="H4989" s="134"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09"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2" t="str">
        <f ca="1" t="shared" si="238"/>
        <v/>
      </c>
      <c r="P4989" s="62"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5" t="s">
        <v>240</v>
      </c>
      <c r="C4990" s="104">
        <v>45954</v>
      </c>
      <c r="D4990" s="40" t="str">
        <f>VLOOKUP(B4990,辅助信息!E:K,7,FALSE)</f>
        <v>JWDDCD2025092400204</v>
      </c>
      <c r="E4990" s="40" t="str">
        <f>VLOOKUP(F4990,辅助信息!A:B,2,FALSE)</f>
        <v>螺纹钢</v>
      </c>
      <c r="F4990" s="40" t="s">
        <v>32</v>
      </c>
      <c r="G4990" s="36">
        <v>30</v>
      </c>
      <c r="H4990" s="134"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09">
        <f>VLOOKUP(B4990,辅助信息!E:J,6,FALSE)</f>
        <v>0</v>
      </c>
      <c r="O4990" s="62" t="str">
        <f ca="1" t="shared" si="238"/>
        <v/>
      </c>
      <c r="P4990" s="62"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5" t="s">
        <v>240</v>
      </c>
      <c r="C4991" s="104">
        <v>45954</v>
      </c>
      <c r="D4991" s="40" t="str">
        <f>VLOOKUP(B4991,辅助信息!E:K,7,FALSE)</f>
        <v>JWDDCD2025092400204</v>
      </c>
      <c r="E4991" s="40" t="str">
        <f>VLOOKUP(F4991,辅助信息!A:B,2,FALSE)</f>
        <v>螺纹钢</v>
      </c>
      <c r="F4991" s="40" t="s">
        <v>30</v>
      </c>
      <c r="G4991" s="36">
        <v>6</v>
      </c>
      <c r="H4991" s="134"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09">
        <f>VLOOKUP(B4991,辅助信息!E:J,6,FALSE)</f>
        <v>0</v>
      </c>
      <c r="O4991" s="62" t="str">
        <f ca="1" t="shared" si="238"/>
        <v/>
      </c>
      <c r="P4991" s="62"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5" t="s">
        <v>225</v>
      </c>
      <c r="C4992" s="104">
        <v>45954</v>
      </c>
      <c r="D4992" s="40" t="str">
        <f>VLOOKUP(B4992,辅助信息!E:K,7,FALSE)</f>
        <v>JWDDCD2025092400210</v>
      </c>
      <c r="E4992" s="40" t="str">
        <f>VLOOKUP(F4992,辅助信息!A:B,2,FALSE)</f>
        <v>盘螺</v>
      </c>
      <c r="F4992" s="40" t="s">
        <v>40</v>
      </c>
      <c r="G4992" s="36">
        <v>35</v>
      </c>
      <c r="H4992" s="134"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09">
        <f>VLOOKUP(B4992,辅助信息!E:J,6,FALSE)</f>
        <v>0</v>
      </c>
      <c r="O4992" s="62" t="str">
        <f ca="1" t="shared" si="238"/>
        <v/>
      </c>
      <c r="P4992" s="62"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spans="2:18">
      <c r="B4993" s="136" t="s">
        <v>229</v>
      </c>
      <c r="C4993" s="70">
        <v>45960</v>
      </c>
      <c r="D4993" s="120" t="str">
        <f>VLOOKUP(B4993,辅助信息!E:K,7,FALSE)</f>
        <v>JWDDCD2025092400212</v>
      </c>
      <c r="E4993" s="120" t="str">
        <f>VLOOKUP(F4993,辅助信息!A:B,2,FALSE)</f>
        <v>盘螺</v>
      </c>
      <c r="F4993" s="120" t="s">
        <v>40</v>
      </c>
      <c r="G4993" s="121">
        <f>75-34</f>
        <v>41</v>
      </c>
      <c r="H4993" s="134" t="str">
        <f>IF(SUMIFS('[1]2025年已发货'!$E:$E,'[1]2025年已发货'!$F:$F,C4993,'[1]2025年已发货'!$C:$C,F4993,'[1]2025年已发货'!$G:$G,I4993,'[1]2025年已发货'!$H:$H,J4993)=0,"未发货",SUMIFS('[1]2025年已发货'!$E:$E,'[1]2025年已发货'!$F:$F,C4993,'[1]2025年已发货'!$C:$C,F4993,'[1]2025年已发货'!$G:$G,I4993,'[1]2025年已发货'!$H:$H,J4993))</f>
        <v>未发货</v>
      </c>
      <c r="I4993" s="156" t="str">
        <f>VLOOKUP(B4993,辅助信息!E:I,3,FALSE)</f>
        <v>(五冶钢构龙泉东洪片区85亩住宅、商业及配套工程项目三标段)成都市龙泉驿外东洪路地铁2号线惠王陵地铁C口</v>
      </c>
      <c r="J4993" s="120" t="str">
        <f>VLOOKUP(B4993,辅助信息!E:I,4,FALSE)</f>
        <v>王军宝</v>
      </c>
      <c r="K4993" s="120">
        <f>VLOOKUP(J4993,辅助信息!H:I,2,FALSE)</f>
        <v>13889142392</v>
      </c>
      <c r="L4993" s="122">
        <f>VLOOKUP(B4993,辅助信息!E:J,6,FALSE)</f>
        <v>0</v>
      </c>
      <c r="M4993" s="91">
        <v>45948</v>
      </c>
      <c r="O4993" s="62">
        <f ca="1" t="shared" si="238"/>
        <v>0</v>
      </c>
      <c r="P4993" s="62">
        <f ca="1" t="shared" si="239"/>
        <v>12</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spans="2:18">
      <c r="B4994" s="136" t="s">
        <v>228</v>
      </c>
      <c r="C4994" s="70">
        <v>45960</v>
      </c>
      <c r="D4994" s="120" t="str">
        <f>VLOOKUP(B4994,辅助信息!E:K,7,FALSE)</f>
        <v>JWDDCD2025092400190</v>
      </c>
      <c r="E4994" s="120" t="str">
        <f>VLOOKUP(F4994,辅助信息!A:B,2,FALSE)</f>
        <v>盘螺</v>
      </c>
      <c r="F4994" s="120" t="s">
        <v>41</v>
      </c>
      <c r="G4994" s="121">
        <v>16</v>
      </c>
      <c r="H4994" s="134" t="str">
        <f>IF(SUMIFS('[1]2025年已发货'!$E:$E,'[1]2025年已发货'!$F:$F,C4994,'[1]2025年已发货'!$C:$C,F4994,'[1]2025年已发货'!$G:$G,I4994,'[1]2025年已发货'!$H:$H,J4994)=0,"未发货",SUMIFS('[1]2025年已发货'!$E:$E,'[1]2025年已发货'!$F:$F,C4994,'[1]2025年已发货'!$C:$C,F4994,'[1]2025年已发货'!$G:$G,I4994,'[1]2025年已发货'!$H:$H,J4994))</f>
        <v>未发货</v>
      </c>
      <c r="I4994" s="156" t="str">
        <f>VLOOKUP(B4994,辅助信息!E:I,3,FALSE)</f>
        <v>(五冶钢构龙泉东洪片区70亩住宅、商业及配套工程项目二标段)成都市龙泉驿外东洪路地铁2号线惠王陵地铁C口</v>
      </c>
      <c r="J4994" s="120" t="str">
        <f>VLOOKUP(B4994,辅助信息!E:I,4,FALSE)</f>
        <v>蒋嗣伟</v>
      </c>
      <c r="K4994" s="120">
        <f>VLOOKUP(J4994,辅助信息!H:I,2,FALSE)</f>
        <v>15014331252</v>
      </c>
      <c r="L4994" s="122">
        <f>VLOOKUP(B4994,辅助信息!E:J,6,FALSE)</f>
        <v>0</v>
      </c>
      <c r="M4994" s="91">
        <v>45948</v>
      </c>
      <c r="O4994" s="62">
        <f ca="1" t="shared" si="238"/>
        <v>0</v>
      </c>
      <c r="P4994" s="62">
        <f ca="1" t="shared" si="239"/>
        <v>12</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spans="2:18">
      <c r="B4995" s="136" t="s">
        <v>229</v>
      </c>
      <c r="C4995" s="70">
        <v>45960</v>
      </c>
      <c r="D4995" s="120" t="str">
        <f>VLOOKUP(B4995,辅助信息!E:K,7,FALSE)</f>
        <v>JWDDCD2025092400212</v>
      </c>
      <c r="E4995" s="120" t="str">
        <f>VLOOKUP(F4995,辅助信息!A:B,2,FALSE)</f>
        <v>高线</v>
      </c>
      <c r="F4995" s="120" t="s">
        <v>57</v>
      </c>
      <c r="G4995" s="121">
        <v>2</v>
      </c>
      <c r="H4995" s="134" t="str">
        <f>IF(SUMIFS('[1]2025年已发货'!$E:$E,'[1]2025年已发货'!$F:$F,C4995,'[1]2025年已发货'!$C:$C,F4995,'[1]2025年已发货'!$G:$G,I4995,'[1]2025年已发货'!$H:$H,J4995)=0,"未发货",SUMIFS('[1]2025年已发货'!$E:$E,'[1]2025年已发货'!$F:$F,C4995,'[1]2025年已发货'!$C:$C,F4995,'[1]2025年已发货'!$G:$G,I4995,'[1]2025年已发货'!$H:$H,J4995))</f>
        <v>未发货</v>
      </c>
      <c r="I4995" s="156" t="str">
        <f>VLOOKUP(B4995,辅助信息!E:I,3,FALSE)</f>
        <v>(五冶钢构龙泉东洪片区85亩住宅、商业及配套工程项目三标段)成都市龙泉驿外东洪路地铁2号线惠王陵地铁C口</v>
      </c>
      <c r="J4995" s="120" t="str">
        <f>VLOOKUP(B4995,辅助信息!E:I,4,FALSE)</f>
        <v>王军宝</v>
      </c>
      <c r="K4995" s="120">
        <f>VLOOKUP(J4995,辅助信息!H:I,2,FALSE)</f>
        <v>13889142392</v>
      </c>
      <c r="L4995" s="122">
        <f>VLOOKUP(B4995,辅助信息!E:J,6,FALSE)</f>
        <v>0</v>
      </c>
      <c r="M4995" s="91">
        <v>45950</v>
      </c>
      <c r="O4995" s="62">
        <f ca="1" t="shared" si="238"/>
        <v>0</v>
      </c>
      <c r="P4995" s="62">
        <f ca="1" t="shared" si="239"/>
        <v>10</v>
      </c>
      <c r="Q4995" s="29" t="str">
        <f>VLOOKUP(B4995,辅助信息!E:M,9,FALSE)</f>
        <v>ZTWM-CDGS-XS-2025-0156-五冶钢构-2025年九月第一批次钢筋采购合同(三圣乡项目)-中铁物贸成都公司</v>
      </c>
      <c r="R4995" s="29" t="str">
        <f>_xlfn._xlws.FILTER(辅助信息!D:D,辅助信息!E:E=B4995)</f>
        <v>五冶钢构龙泉东洪片区(70亩、85亩)住宅、商业及配套工程项目</v>
      </c>
    </row>
    <row r="4996" spans="2:18">
      <c r="B4996" s="136" t="s">
        <v>229</v>
      </c>
      <c r="C4996" s="70">
        <v>45960</v>
      </c>
      <c r="D4996" s="120" t="str">
        <f>VLOOKUP(B4996,辅助信息!E:K,7,FALSE)</f>
        <v>JWDDCD2025092400212</v>
      </c>
      <c r="E4996" s="120" t="str">
        <f>VLOOKUP(F4996,辅助信息!A:B,2,FALSE)</f>
        <v>高线</v>
      </c>
      <c r="F4996" s="120" t="s">
        <v>53</v>
      </c>
      <c r="G4996" s="121">
        <v>2</v>
      </c>
      <c r="H4996" s="134" t="str">
        <f>IF(SUMIFS('[1]2025年已发货'!$E:$E,'[1]2025年已发货'!$F:$F,C4996,'[1]2025年已发货'!$C:$C,F4996,'[1]2025年已发货'!$G:$G,I4996,'[1]2025年已发货'!$H:$H,J4996)=0,"未发货",SUMIFS('[1]2025年已发货'!$E:$E,'[1]2025年已发货'!$F:$F,C4996,'[1]2025年已发货'!$C:$C,F4996,'[1]2025年已发货'!$G:$G,I4996,'[1]2025年已发货'!$H:$H,J4996))</f>
        <v>未发货</v>
      </c>
      <c r="I4996" s="156" t="str">
        <f>VLOOKUP(B4996,辅助信息!E:I,3,FALSE)</f>
        <v>(五冶钢构龙泉东洪片区85亩住宅、商业及配套工程项目三标段)成都市龙泉驿外东洪路地铁2号线惠王陵地铁C口</v>
      </c>
      <c r="J4996" s="120" t="str">
        <f>VLOOKUP(B4996,辅助信息!E:I,4,FALSE)</f>
        <v>王军宝</v>
      </c>
      <c r="K4996" s="120">
        <f>VLOOKUP(J4996,辅助信息!H:I,2,FALSE)</f>
        <v>13889142392</v>
      </c>
      <c r="L4996" s="122">
        <f>VLOOKUP(B4996,辅助信息!E:J,6,FALSE)</f>
        <v>0</v>
      </c>
      <c r="M4996" s="91">
        <v>45950</v>
      </c>
      <c r="O4996" s="62">
        <f ca="1" t="shared" si="238"/>
        <v>0</v>
      </c>
      <c r="P4996" s="62">
        <f ca="1" t="shared" si="239"/>
        <v>10</v>
      </c>
      <c r="Q4996" s="29" t="str">
        <f>VLOOKUP(B4996,辅助信息!E:M,9,FALSE)</f>
        <v>ZTWM-CDGS-XS-2025-0156-五冶钢构-2025年九月第一批次钢筋采购合同(三圣乡项目)-中铁物贸成都公司</v>
      </c>
      <c r="R4996" s="29" t="str">
        <f>_xlfn._xlws.FILTER(辅助信息!D:D,辅助信息!E:E=B4996)</f>
        <v>五冶钢构龙泉东洪片区(70亩、85亩)住宅、商业及配套工程项目</v>
      </c>
    </row>
    <row r="4997" spans="2:18">
      <c r="B4997" s="136" t="s">
        <v>229</v>
      </c>
      <c r="C4997" s="70">
        <v>45960</v>
      </c>
      <c r="D4997" s="120" t="str">
        <f>VLOOKUP(B4997,辅助信息!E:K,7,FALSE)</f>
        <v>JWDDCD2025092400212</v>
      </c>
      <c r="E4997" s="120" t="str">
        <f>VLOOKUP(F4997,辅助信息!A:B,2,FALSE)</f>
        <v>盘螺</v>
      </c>
      <c r="F4997" s="120" t="s">
        <v>49</v>
      </c>
      <c r="G4997" s="121">
        <v>2</v>
      </c>
      <c r="H4997" s="134" t="str">
        <f>IF(SUMIFS('[1]2025年已发货'!$E:$E,'[1]2025年已发货'!$F:$F,C4997,'[1]2025年已发货'!$C:$C,F4997,'[1]2025年已发货'!$G:$G,I4997,'[1]2025年已发货'!$H:$H,J4997)=0,"未发货",SUMIFS('[1]2025年已发货'!$E:$E,'[1]2025年已发货'!$F:$F,C4997,'[1]2025年已发货'!$C:$C,F4997,'[1]2025年已发货'!$G:$G,I4997,'[1]2025年已发货'!$H:$H,J4997))</f>
        <v>未发货</v>
      </c>
      <c r="I4997" s="156" t="str">
        <f>VLOOKUP(B4997,辅助信息!E:I,3,FALSE)</f>
        <v>(五冶钢构龙泉东洪片区85亩住宅、商业及配套工程项目三标段)成都市龙泉驿外东洪路地铁2号线惠王陵地铁C口</v>
      </c>
      <c r="J4997" s="120" t="str">
        <f>VLOOKUP(B4997,辅助信息!E:I,4,FALSE)</f>
        <v>王军宝</v>
      </c>
      <c r="K4997" s="120">
        <f>VLOOKUP(J4997,辅助信息!H:I,2,FALSE)</f>
        <v>13889142392</v>
      </c>
      <c r="L4997" s="122">
        <f>VLOOKUP(B4997,辅助信息!E:J,6,FALSE)</f>
        <v>0</v>
      </c>
      <c r="M4997" s="91">
        <v>45950</v>
      </c>
      <c r="O4997" s="62">
        <f ca="1" t="shared" si="238"/>
        <v>0</v>
      </c>
      <c r="P4997" s="62">
        <f ca="1" t="shared" si="239"/>
        <v>10</v>
      </c>
      <c r="Q4997" s="29" t="str">
        <f>VLOOKUP(B4997,辅助信息!E:M,9,FALSE)</f>
        <v>ZTWM-CDGS-XS-2025-0156-五冶钢构-2025年九月第一批次钢筋采购合同(三圣乡项目)-中铁物贸成都公司</v>
      </c>
      <c r="R4997" s="29" t="str">
        <f>_xlfn._xlws.FILTER(辅助信息!D:D,辅助信息!E:E=B4997)</f>
        <v>五冶钢构龙泉东洪片区(70亩、85亩)住宅、商业及配套工程项目</v>
      </c>
    </row>
    <row r="4998" spans="2:18">
      <c r="B4998" s="136" t="s">
        <v>229</v>
      </c>
      <c r="C4998" s="70">
        <v>45960</v>
      </c>
      <c r="D4998" s="120" t="str">
        <f>VLOOKUP(B4998,辅助信息!E:K,7,FALSE)</f>
        <v>JWDDCD2025092400212</v>
      </c>
      <c r="E4998" s="120" t="str">
        <f>VLOOKUP(F4998,辅助信息!A:B,2,FALSE)</f>
        <v>盘螺</v>
      </c>
      <c r="F4998" s="120" t="s">
        <v>40</v>
      </c>
      <c r="G4998" s="121">
        <v>8</v>
      </c>
      <c r="H4998" s="134" t="str">
        <f>IF(SUMIFS('[1]2025年已发货'!$E:$E,'[1]2025年已发货'!$F:$F,C4998,'[1]2025年已发货'!$C:$C,F4998,'[1]2025年已发货'!$G:$G,I4998,'[1]2025年已发货'!$H:$H,J4998)=0,"未发货",SUMIFS('[1]2025年已发货'!$E:$E,'[1]2025年已发货'!$F:$F,C4998,'[1]2025年已发货'!$C:$C,F4998,'[1]2025年已发货'!$G:$G,I4998,'[1]2025年已发货'!$H:$H,J4998))</f>
        <v>未发货</v>
      </c>
      <c r="I4998" s="156" t="str">
        <f>VLOOKUP(B4998,辅助信息!E:I,3,FALSE)</f>
        <v>(五冶钢构龙泉东洪片区85亩住宅、商业及配套工程项目三标段)成都市龙泉驿外东洪路地铁2号线惠王陵地铁C口</v>
      </c>
      <c r="J4998" s="120" t="str">
        <f>VLOOKUP(B4998,辅助信息!E:I,4,FALSE)</f>
        <v>王军宝</v>
      </c>
      <c r="K4998" s="120">
        <f>VLOOKUP(J4998,辅助信息!H:I,2,FALSE)</f>
        <v>13889142392</v>
      </c>
      <c r="L4998" s="122">
        <f>VLOOKUP(B4998,辅助信息!E:J,6,FALSE)</f>
        <v>0</v>
      </c>
      <c r="M4998" s="91">
        <v>45950</v>
      </c>
      <c r="O4998" s="62">
        <f ca="1" t="shared" si="238"/>
        <v>0</v>
      </c>
      <c r="P4998" s="62">
        <f ca="1" t="shared" si="239"/>
        <v>10</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spans="2:18">
      <c r="B4999" s="136" t="s">
        <v>229</v>
      </c>
      <c r="C4999" s="70">
        <v>45960</v>
      </c>
      <c r="D4999" s="120" t="str">
        <f>VLOOKUP(B4999,辅助信息!E:K,7,FALSE)</f>
        <v>JWDDCD2025092400212</v>
      </c>
      <c r="E4999" s="120" t="str">
        <f>VLOOKUP(F4999,辅助信息!A:B,2,FALSE)</f>
        <v>盘螺</v>
      </c>
      <c r="F4999" s="120" t="s">
        <v>41</v>
      </c>
      <c r="G4999" s="121">
        <v>20</v>
      </c>
      <c r="H4999" s="134" t="str">
        <f>IF(SUMIFS('[1]2025年已发货'!$E:$E,'[1]2025年已发货'!$F:$F,C4999,'[1]2025年已发货'!$C:$C,F4999,'[1]2025年已发货'!$G:$G,I4999,'[1]2025年已发货'!$H:$H,J4999)=0,"未发货",SUMIFS('[1]2025年已发货'!$E:$E,'[1]2025年已发货'!$F:$F,C4999,'[1]2025年已发货'!$C:$C,F4999,'[1]2025年已发货'!$G:$G,I4999,'[1]2025年已发货'!$H:$H,J4999))</f>
        <v>未发货</v>
      </c>
      <c r="I4999" s="156" t="str">
        <f>VLOOKUP(B4999,辅助信息!E:I,3,FALSE)</f>
        <v>(五冶钢构龙泉东洪片区85亩住宅、商业及配套工程项目三标段)成都市龙泉驿外东洪路地铁2号线惠王陵地铁C口</v>
      </c>
      <c r="J4999" s="120" t="str">
        <f>VLOOKUP(B4999,辅助信息!E:I,4,FALSE)</f>
        <v>王军宝</v>
      </c>
      <c r="K4999" s="120">
        <f>VLOOKUP(J4999,辅助信息!H:I,2,FALSE)</f>
        <v>13889142392</v>
      </c>
      <c r="L4999" s="122">
        <f>VLOOKUP(B4999,辅助信息!E:J,6,FALSE)</f>
        <v>0</v>
      </c>
      <c r="M4999" s="91">
        <v>45950</v>
      </c>
      <c r="O4999" s="62">
        <f ca="1" t="shared" si="238"/>
        <v>0</v>
      </c>
      <c r="P4999" s="62">
        <f ca="1" t="shared" si="239"/>
        <v>10</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spans="2:18">
      <c r="B5000" s="136" t="s">
        <v>229</v>
      </c>
      <c r="C5000" s="70">
        <v>45960</v>
      </c>
      <c r="D5000" s="120" t="str">
        <f>VLOOKUP(B5000,辅助信息!E:K,7,FALSE)</f>
        <v>JWDDCD2025092400212</v>
      </c>
      <c r="E5000" s="120" t="str">
        <f>VLOOKUP(F5000,辅助信息!A:B,2,FALSE)</f>
        <v>螺纹钢</v>
      </c>
      <c r="F5000" s="120" t="s">
        <v>27</v>
      </c>
      <c r="G5000" s="121">
        <v>30</v>
      </c>
      <c r="H5000" s="134" t="str">
        <f>IF(SUMIFS('[1]2025年已发货'!$E:$E,'[1]2025年已发货'!$F:$F,C5000,'[1]2025年已发货'!$C:$C,F5000,'[1]2025年已发货'!$G:$G,I5000,'[1]2025年已发货'!$H:$H,J5000)=0,"未发货",SUMIFS('[1]2025年已发货'!$E:$E,'[1]2025年已发货'!$F:$F,C5000,'[1]2025年已发货'!$C:$C,F5000,'[1]2025年已发货'!$G:$G,I5000,'[1]2025年已发货'!$H:$H,J5000))</f>
        <v>未发货</v>
      </c>
      <c r="I5000" s="156" t="str">
        <f>VLOOKUP(B5000,辅助信息!E:I,3,FALSE)</f>
        <v>(五冶钢构龙泉东洪片区85亩住宅、商业及配套工程项目三标段)成都市龙泉驿外东洪路地铁2号线惠王陵地铁C口</v>
      </c>
      <c r="J5000" s="120" t="str">
        <f>VLOOKUP(B5000,辅助信息!E:I,4,FALSE)</f>
        <v>王军宝</v>
      </c>
      <c r="K5000" s="120">
        <f>VLOOKUP(J5000,辅助信息!H:I,2,FALSE)</f>
        <v>13889142392</v>
      </c>
      <c r="L5000" s="122">
        <f>VLOOKUP(B5000,辅助信息!E:J,6,FALSE)</f>
        <v>0</v>
      </c>
      <c r="M5000" s="91">
        <v>45950</v>
      </c>
      <c r="O5000" s="62">
        <f ca="1" t="shared" si="238"/>
        <v>0</v>
      </c>
      <c r="P5000" s="62">
        <f ca="1" t="shared" si="239"/>
        <v>10</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spans="2:18">
      <c r="B5001" s="136" t="s">
        <v>229</v>
      </c>
      <c r="C5001" s="70">
        <v>45960</v>
      </c>
      <c r="D5001" s="120" t="str">
        <f>VLOOKUP(B5001,辅助信息!E:K,7,FALSE)</f>
        <v>JWDDCD2025092400212</v>
      </c>
      <c r="E5001" s="120" t="str">
        <f>VLOOKUP(F5001,辅助信息!A:B,2,FALSE)</f>
        <v>盘螺</v>
      </c>
      <c r="F5001" s="120" t="s">
        <v>49</v>
      </c>
      <c r="G5001" s="121">
        <v>6</v>
      </c>
      <c r="H5001" s="134" t="str">
        <f>IF(SUMIFS('[1]2025年已发货'!$E:$E,'[1]2025年已发货'!$F:$F,C5001,'[1]2025年已发货'!$C:$C,F5001,'[1]2025年已发货'!$G:$G,I5001,'[1]2025年已发货'!$H:$H,J5001)=0,"未发货",SUMIFS('[1]2025年已发货'!$E:$E,'[1]2025年已发货'!$F:$F,C5001,'[1]2025年已发货'!$C:$C,F5001,'[1]2025年已发货'!$G:$G,I5001,'[1]2025年已发货'!$H:$H,J5001))</f>
        <v>未发货</v>
      </c>
      <c r="I5001" s="156" t="str">
        <f>VLOOKUP(B5001,辅助信息!E:I,3,FALSE)</f>
        <v>(五冶钢构龙泉东洪片区85亩住宅、商业及配套工程项目三标段)成都市龙泉驿外东洪路地铁2号线惠王陵地铁C口</v>
      </c>
      <c r="J5001" s="120" t="str">
        <f>VLOOKUP(B5001,辅助信息!E:I,4,FALSE)</f>
        <v>王军宝</v>
      </c>
      <c r="K5001" s="120">
        <f>VLOOKUP(J5001,辅助信息!H:I,2,FALSE)</f>
        <v>13889142392</v>
      </c>
      <c r="L5001" s="122">
        <f>VLOOKUP(B5001,辅助信息!E:J,6,FALSE)</f>
        <v>0</v>
      </c>
      <c r="M5001" s="91">
        <v>45950</v>
      </c>
      <c r="O5001" s="62">
        <f ca="1" t="shared" si="238"/>
        <v>0</v>
      </c>
      <c r="P5001" s="62">
        <f ca="1" t="shared" si="239"/>
        <v>10</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spans="2:18">
      <c r="B5002" s="136" t="s">
        <v>229</v>
      </c>
      <c r="C5002" s="70">
        <v>45960</v>
      </c>
      <c r="D5002" s="120" t="str">
        <f>VLOOKUP(B5002,辅助信息!E:K,7,FALSE)</f>
        <v>JWDDCD2025092400212</v>
      </c>
      <c r="E5002" s="120" t="str">
        <f>VLOOKUP(F5002,辅助信息!A:B,2,FALSE)</f>
        <v>盘螺</v>
      </c>
      <c r="F5002" s="120" t="s">
        <v>40</v>
      </c>
      <c r="G5002" s="121">
        <v>20</v>
      </c>
      <c r="H5002" s="134" t="str">
        <f>IF(SUMIFS('[1]2025年已发货'!$E:$E,'[1]2025年已发货'!$F:$F,C5002,'[1]2025年已发货'!$C:$C,F5002,'[1]2025年已发货'!$G:$G,I5002,'[1]2025年已发货'!$H:$H,J5002)=0,"未发货",SUMIFS('[1]2025年已发货'!$E:$E,'[1]2025年已发货'!$F:$F,C5002,'[1]2025年已发货'!$C:$C,F5002,'[1]2025年已发货'!$G:$G,I5002,'[1]2025年已发货'!$H:$H,J5002))</f>
        <v>未发货</v>
      </c>
      <c r="I5002" s="156" t="str">
        <f>VLOOKUP(B5002,辅助信息!E:I,3,FALSE)</f>
        <v>(五冶钢构龙泉东洪片区85亩住宅、商业及配套工程项目三标段)成都市龙泉驿外东洪路地铁2号线惠王陵地铁C口</v>
      </c>
      <c r="J5002" s="120" t="str">
        <f>VLOOKUP(B5002,辅助信息!E:I,4,FALSE)</f>
        <v>王军宝</v>
      </c>
      <c r="K5002" s="120">
        <f>VLOOKUP(J5002,辅助信息!H:I,2,FALSE)</f>
        <v>13889142392</v>
      </c>
      <c r="L5002" s="122">
        <f>VLOOKUP(B5002,辅助信息!E:J,6,FALSE)</f>
        <v>0</v>
      </c>
      <c r="M5002" s="91">
        <v>45950</v>
      </c>
      <c r="O5002" s="62">
        <f ca="1" t="shared" si="238"/>
        <v>0</v>
      </c>
      <c r="P5002" s="62">
        <f ca="1" t="shared" si="239"/>
        <v>10</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spans="2:18">
      <c r="B5003" s="136" t="s">
        <v>229</v>
      </c>
      <c r="C5003" s="70">
        <v>45960</v>
      </c>
      <c r="D5003" s="120" t="str">
        <f>VLOOKUP(B5003,辅助信息!E:K,7,FALSE)</f>
        <v>JWDDCD2025092400212</v>
      </c>
      <c r="E5003" s="120" t="str">
        <f>VLOOKUP(F5003,辅助信息!A:B,2,FALSE)</f>
        <v>盘螺</v>
      </c>
      <c r="F5003" s="120" t="s">
        <v>41</v>
      </c>
      <c r="G5003" s="121">
        <v>40</v>
      </c>
      <c r="H5003" s="134" t="str">
        <f>IF(SUMIFS('[1]2025年已发货'!$E:$E,'[1]2025年已发货'!$F:$F,C5003,'[1]2025年已发货'!$C:$C,F5003,'[1]2025年已发货'!$G:$G,I5003,'[1]2025年已发货'!$H:$H,J5003)=0,"未发货",SUMIFS('[1]2025年已发货'!$E:$E,'[1]2025年已发货'!$F:$F,C5003,'[1]2025年已发货'!$C:$C,F5003,'[1]2025年已发货'!$G:$G,I5003,'[1]2025年已发货'!$H:$H,J5003))</f>
        <v>未发货</v>
      </c>
      <c r="I5003" s="156" t="str">
        <f>VLOOKUP(B5003,辅助信息!E:I,3,FALSE)</f>
        <v>(五冶钢构龙泉东洪片区85亩住宅、商业及配套工程项目三标段)成都市龙泉驿外东洪路地铁2号线惠王陵地铁C口</v>
      </c>
      <c r="J5003" s="120" t="str">
        <f>VLOOKUP(B5003,辅助信息!E:I,4,FALSE)</f>
        <v>王军宝</v>
      </c>
      <c r="K5003" s="120">
        <f>VLOOKUP(J5003,辅助信息!H:I,2,FALSE)</f>
        <v>13889142392</v>
      </c>
      <c r="L5003" s="122">
        <f>VLOOKUP(B5003,辅助信息!E:J,6,FALSE)</f>
        <v>0</v>
      </c>
      <c r="M5003" s="91">
        <v>45950</v>
      </c>
      <c r="O5003" s="62">
        <f ca="1" t="shared" si="238"/>
        <v>0</v>
      </c>
      <c r="P5003" s="62">
        <f ca="1" t="shared" si="239"/>
        <v>10</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spans="2:18">
      <c r="B5004" s="136" t="s">
        <v>229</v>
      </c>
      <c r="C5004" s="70">
        <v>45960</v>
      </c>
      <c r="D5004" s="120" t="str">
        <f>VLOOKUP(B5004,辅助信息!E:K,7,FALSE)</f>
        <v>JWDDCD2025092400212</v>
      </c>
      <c r="E5004" s="120" t="str">
        <f>VLOOKUP(F5004,辅助信息!A:B,2,FALSE)</f>
        <v>螺纹钢</v>
      </c>
      <c r="F5004" s="120" t="s">
        <v>27</v>
      </c>
      <c r="G5004" s="121">
        <v>57</v>
      </c>
      <c r="H5004" s="134" t="str">
        <f>IF(SUMIFS('[1]2025年已发货'!$E:$E,'[1]2025年已发货'!$F:$F,C5004,'[1]2025年已发货'!$C:$C,F5004,'[1]2025年已发货'!$G:$G,I5004,'[1]2025年已发货'!$H:$H,J5004)=0,"未发货",SUMIFS('[1]2025年已发货'!$E:$E,'[1]2025年已发货'!$F:$F,C5004,'[1]2025年已发货'!$C:$C,F5004,'[1]2025年已发货'!$G:$G,I5004,'[1]2025年已发货'!$H:$H,J5004))</f>
        <v>未发货</v>
      </c>
      <c r="I5004" s="156" t="str">
        <f>VLOOKUP(B5004,辅助信息!E:I,3,FALSE)</f>
        <v>(五冶钢构龙泉东洪片区85亩住宅、商业及配套工程项目三标段)成都市龙泉驿外东洪路地铁2号线惠王陵地铁C口</v>
      </c>
      <c r="J5004" s="120" t="str">
        <f>VLOOKUP(B5004,辅助信息!E:I,4,FALSE)</f>
        <v>王军宝</v>
      </c>
      <c r="K5004" s="120">
        <f>VLOOKUP(J5004,辅助信息!H:I,2,FALSE)</f>
        <v>13889142392</v>
      </c>
      <c r="L5004" s="122">
        <f>VLOOKUP(B5004,辅助信息!E:J,6,FALSE)</f>
        <v>0</v>
      </c>
      <c r="M5004" s="91">
        <v>45950</v>
      </c>
      <c r="O5004" s="62">
        <f ca="1" t="shared" si="238"/>
        <v>0</v>
      </c>
      <c r="P5004" s="62">
        <f ca="1" t="shared" si="239"/>
        <v>10</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spans="2:18">
      <c r="B5005" s="136" t="s">
        <v>229</v>
      </c>
      <c r="C5005" s="70">
        <v>45960</v>
      </c>
      <c r="D5005" s="120" t="str">
        <f>VLOOKUP(B5005,辅助信息!E:K,7,FALSE)</f>
        <v>JWDDCD2025092400212</v>
      </c>
      <c r="E5005" s="120" t="str">
        <f>VLOOKUP(F5005,辅助信息!A:B,2,FALSE)</f>
        <v>螺纹钢</v>
      </c>
      <c r="F5005" s="120" t="s">
        <v>19</v>
      </c>
      <c r="G5005" s="121">
        <v>9</v>
      </c>
      <c r="H5005" s="134" t="str">
        <f>IF(SUMIFS('[1]2025年已发货'!$E:$E,'[1]2025年已发货'!$F:$F,C5005,'[1]2025年已发货'!$C:$C,F5005,'[1]2025年已发货'!$G:$G,I5005,'[1]2025年已发货'!$H:$H,J5005)=0,"未发货",SUMIFS('[1]2025年已发货'!$E:$E,'[1]2025年已发货'!$F:$F,C5005,'[1]2025年已发货'!$C:$C,F5005,'[1]2025年已发货'!$G:$G,I5005,'[1]2025年已发货'!$H:$H,J5005))</f>
        <v>未发货</v>
      </c>
      <c r="I5005" s="156" t="str">
        <f>VLOOKUP(B5005,辅助信息!E:I,3,FALSE)</f>
        <v>(五冶钢构龙泉东洪片区85亩住宅、商业及配套工程项目三标段)成都市龙泉驿外东洪路地铁2号线惠王陵地铁C口</v>
      </c>
      <c r="J5005" s="120" t="str">
        <f>VLOOKUP(B5005,辅助信息!E:I,4,FALSE)</f>
        <v>王军宝</v>
      </c>
      <c r="K5005" s="120">
        <f>VLOOKUP(J5005,辅助信息!H:I,2,FALSE)</f>
        <v>13889142392</v>
      </c>
      <c r="L5005" s="122">
        <f>VLOOKUP(B5005,辅助信息!E:J,6,FALSE)</f>
        <v>0</v>
      </c>
      <c r="M5005" s="91">
        <v>45950</v>
      </c>
      <c r="O5005" s="62">
        <f ca="1" t="shared" si="238"/>
        <v>0</v>
      </c>
      <c r="P5005" s="62">
        <f ca="1" t="shared" si="239"/>
        <v>10</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spans="2:18">
      <c r="B5006" s="136" t="s">
        <v>229</v>
      </c>
      <c r="C5006" s="70">
        <v>45960</v>
      </c>
      <c r="D5006" s="120" t="str">
        <f>VLOOKUP(B5006,辅助信息!E:K,7,FALSE)</f>
        <v>JWDDCD2025092400212</v>
      </c>
      <c r="E5006" s="120" t="str">
        <f>VLOOKUP(F5006,辅助信息!A:B,2,FALSE)</f>
        <v>螺纹钢</v>
      </c>
      <c r="F5006" s="120" t="s">
        <v>32</v>
      </c>
      <c r="G5006" s="121">
        <v>6</v>
      </c>
      <c r="H5006" s="134" t="str">
        <f>IF(SUMIFS('[1]2025年已发货'!$E:$E,'[1]2025年已发货'!$F:$F,C5006,'[1]2025年已发货'!$C:$C,F5006,'[1]2025年已发货'!$G:$G,I5006,'[1]2025年已发货'!$H:$H,J5006)=0,"未发货",SUMIFS('[1]2025年已发货'!$E:$E,'[1]2025年已发货'!$F:$F,C5006,'[1]2025年已发货'!$C:$C,F5006,'[1]2025年已发货'!$G:$G,I5006,'[1]2025年已发货'!$H:$H,J5006))</f>
        <v>未发货</v>
      </c>
      <c r="I5006" s="156" t="str">
        <f>VLOOKUP(B5006,辅助信息!E:I,3,FALSE)</f>
        <v>(五冶钢构龙泉东洪片区85亩住宅、商业及配套工程项目三标段)成都市龙泉驿外东洪路地铁2号线惠王陵地铁C口</v>
      </c>
      <c r="J5006" s="120" t="str">
        <f>VLOOKUP(B5006,辅助信息!E:I,4,FALSE)</f>
        <v>王军宝</v>
      </c>
      <c r="K5006" s="120">
        <f>VLOOKUP(J5006,辅助信息!H:I,2,FALSE)</f>
        <v>13889142392</v>
      </c>
      <c r="L5006" s="122">
        <f>VLOOKUP(B5006,辅助信息!E:J,6,FALSE)</f>
        <v>0</v>
      </c>
      <c r="M5006" s="91">
        <v>45950</v>
      </c>
      <c r="O5006" s="62">
        <f ca="1" t="shared" si="238"/>
        <v>0</v>
      </c>
      <c r="P5006" s="62">
        <f ca="1" t="shared" si="239"/>
        <v>10</v>
      </c>
      <c r="Q5006" s="29" t="str">
        <f>VLOOKUP(B5006,辅助信息!E:M,9,FALSE)</f>
        <v>ZTWM-CDGS-XS-2025-0156-五冶钢构-2025年九月第一批次钢筋采购合同(三圣乡项目)-中铁物贸成都公司</v>
      </c>
      <c r="R5006" s="29" t="str">
        <f>_xlfn._xlws.FILTER(辅助信息!D:D,辅助信息!E:E=B5006)</f>
        <v>五冶钢构龙泉东洪片区(70亩、85亩)住宅、商业及配套工程项目</v>
      </c>
    </row>
    <row r="5007" spans="2:18">
      <c r="B5007" s="136" t="s">
        <v>229</v>
      </c>
      <c r="C5007" s="70">
        <v>45960</v>
      </c>
      <c r="D5007" s="120" t="str">
        <f>VLOOKUP(B5007,辅助信息!E:K,7,FALSE)</f>
        <v>JWDDCD2025092400212</v>
      </c>
      <c r="E5007" s="120" t="str">
        <f>VLOOKUP(F5007,辅助信息!A:B,2,FALSE)</f>
        <v>螺纹钢</v>
      </c>
      <c r="F5007" s="120" t="s">
        <v>30</v>
      </c>
      <c r="G5007" s="121">
        <v>9</v>
      </c>
      <c r="H5007" s="134" t="str">
        <f>IF(SUMIFS('[1]2025年已发货'!$E:$E,'[1]2025年已发货'!$F:$F,C5007,'[1]2025年已发货'!$C:$C,F5007,'[1]2025年已发货'!$G:$G,I5007,'[1]2025年已发货'!$H:$H,J5007)=0,"未发货",SUMIFS('[1]2025年已发货'!$E:$E,'[1]2025年已发货'!$F:$F,C5007,'[1]2025年已发货'!$C:$C,F5007,'[1]2025年已发货'!$G:$G,I5007,'[1]2025年已发货'!$H:$H,J5007))</f>
        <v>未发货</v>
      </c>
      <c r="I5007" s="156" t="str">
        <f>VLOOKUP(B5007,辅助信息!E:I,3,FALSE)</f>
        <v>(五冶钢构龙泉东洪片区85亩住宅、商业及配套工程项目三标段)成都市龙泉驿外东洪路地铁2号线惠王陵地铁C口</v>
      </c>
      <c r="J5007" s="120" t="str">
        <f>VLOOKUP(B5007,辅助信息!E:I,4,FALSE)</f>
        <v>王军宝</v>
      </c>
      <c r="K5007" s="120">
        <f>VLOOKUP(J5007,辅助信息!H:I,2,FALSE)</f>
        <v>13889142392</v>
      </c>
      <c r="L5007" s="122">
        <f>VLOOKUP(B5007,辅助信息!E:J,6,FALSE)</f>
        <v>0</v>
      </c>
      <c r="M5007" s="91">
        <v>45950</v>
      </c>
      <c r="O5007" s="62">
        <f ca="1" t="shared" si="238"/>
        <v>0</v>
      </c>
      <c r="P5007" s="62">
        <f ca="1" t="shared" si="239"/>
        <v>10</v>
      </c>
      <c r="Q5007" s="29" t="str">
        <f>VLOOKUP(B5007,辅助信息!E:M,9,FALSE)</f>
        <v>ZTWM-CDGS-XS-2025-0156-五冶钢构-2025年九月第一批次钢筋采购合同(三圣乡项目)-中铁物贸成都公司</v>
      </c>
      <c r="R5007" s="29" t="str">
        <f>_xlfn._xlws.FILTER(辅助信息!D:D,辅助信息!E:E=B5007)</f>
        <v>五冶钢构龙泉东洪片区(70亩、85亩)住宅、商业及配套工程项目</v>
      </c>
    </row>
    <row r="5008" spans="2:18">
      <c r="B5008" s="136" t="s">
        <v>229</v>
      </c>
      <c r="C5008" s="70">
        <v>45960</v>
      </c>
      <c r="D5008" s="120" t="str">
        <f>VLOOKUP(B5008,辅助信息!E:K,7,FALSE)</f>
        <v>JWDDCD2025092400212</v>
      </c>
      <c r="E5008" s="120" t="str">
        <f>VLOOKUP(F5008,辅助信息!A:B,2,FALSE)</f>
        <v>螺纹钢</v>
      </c>
      <c r="F5008" s="120" t="s">
        <v>18</v>
      </c>
      <c r="G5008" s="121">
        <v>6</v>
      </c>
      <c r="H5008" s="134" t="str">
        <f>IF(SUMIFS('[1]2025年已发货'!$E:$E,'[1]2025年已发货'!$F:$F,C5008,'[1]2025年已发货'!$C:$C,F5008,'[1]2025年已发货'!$G:$G,I5008,'[1]2025年已发货'!$H:$H,J5008)=0,"未发货",SUMIFS('[1]2025年已发货'!$E:$E,'[1]2025年已发货'!$F:$F,C5008,'[1]2025年已发货'!$C:$C,F5008,'[1]2025年已发货'!$G:$G,I5008,'[1]2025年已发货'!$H:$H,J5008))</f>
        <v>未发货</v>
      </c>
      <c r="I5008" s="156" t="str">
        <f>VLOOKUP(B5008,辅助信息!E:I,3,FALSE)</f>
        <v>(五冶钢构龙泉东洪片区85亩住宅、商业及配套工程项目三标段)成都市龙泉驿外东洪路地铁2号线惠王陵地铁C口</v>
      </c>
      <c r="J5008" s="120" t="str">
        <f>VLOOKUP(B5008,辅助信息!E:I,4,FALSE)</f>
        <v>王军宝</v>
      </c>
      <c r="K5008" s="120">
        <f>VLOOKUP(J5008,辅助信息!H:I,2,FALSE)</f>
        <v>13889142392</v>
      </c>
      <c r="L5008" s="122">
        <f>VLOOKUP(B5008,辅助信息!E:J,6,FALSE)</f>
        <v>0</v>
      </c>
      <c r="M5008" s="91">
        <v>45950</v>
      </c>
      <c r="O5008" s="62">
        <f ca="1" t="shared" si="238"/>
        <v>0</v>
      </c>
      <c r="P5008" s="62">
        <f ca="1" t="shared" si="239"/>
        <v>10</v>
      </c>
      <c r="Q5008" s="29" t="str">
        <f>VLOOKUP(B5008,辅助信息!E:M,9,FALSE)</f>
        <v>ZTWM-CDGS-XS-2025-0156-五冶钢构-2025年九月第一批次钢筋采购合同(三圣乡项目)-中铁物贸成都公司</v>
      </c>
      <c r="R5008" s="29" t="str">
        <f>_xlfn._xlws.FILTER(辅助信息!D:D,辅助信息!E:E=B5008)</f>
        <v>五冶钢构龙泉东洪片区(70亩、85亩)住宅、商业及配套工程项目</v>
      </c>
    </row>
    <row r="5009" spans="2:18">
      <c r="B5009" s="136" t="s">
        <v>229</v>
      </c>
      <c r="C5009" s="70">
        <v>45960</v>
      </c>
      <c r="D5009" s="120" t="str">
        <f>VLOOKUP(B5009,辅助信息!E:K,7,FALSE)</f>
        <v>JWDDCD2025092400212</v>
      </c>
      <c r="E5009" s="120" t="str">
        <f>VLOOKUP(F5009,辅助信息!A:B,2,FALSE)</f>
        <v>螺纹钢</v>
      </c>
      <c r="F5009" s="120" t="s">
        <v>66</v>
      </c>
      <c r="G5009" s="121">
        <v>6</v>
      </c>
      <c r="H5009" s="134" t="str">
        <f>IF(SUMIFS('[1]2025年已发货'!$E:$E,'[1]2025年已发货'!$F:$F,C5009,'[1]2025年已发货'!$C:$C,F5009,'[1]2025年已发货'!$G:$G,I5009,'[1]2025年已发货'!$H:$H,J5009)=0,"未发货",SUMIFS('[1]2025年已发货'!$E:$E,'[1]2025年已发货'!$F:$F,C5009,'[1]2025年已发货'!$C:$C,F5009,'[1]2025年已发货'!$G:$G,I5009,'[1]2025年已发货'!$H:$H,J5009))</f>
        <v>未发货</v>
      </c>
      <c r="I5009" s="156" t="str">
        <f>VLOOKUP(B5009,辅助信息!E:I,3,FALSE)</f>
        <v>(五冶钢构龙泉东洪片区85亩住宅、商业及配套工程项目三标段)成都市龙泉驿外东洪路地铁2号线惠王陵地铁C口</v>
      </c>
      <c r="J5009" s="120" t="str">
        <f>VLOOKUP(B5009,辅助信息!E:I,4,FALSE)</f>
        <v>王军宝</v>
      </c>
      <c r="K5009" s="120">
        <f>VLOOKUP(J5009,辅助信息!H:I,2,FALSE)</f>
        <v>13889142392</v>
      </c>
      <c r="L5009" s="122">
        <f>VLOOKUP(B5009,辅助信息!E:J,6,FALSE)</f>
        <v>0</v>
      </c>
      <c r="M5009" s="91">
        <v>45950</v>
      </c>
      <c r="O5009" s="62">
        <f ca="1" t="shared" si="238"/>
        <v>0</v>
      </c>
      <c r="P5009" s="62">
        <f ca="1" t="shared" si="239"/>
        <v>10</v>
      </c>
      <c r="Q5009" s="29" t="str">
        <f>VLOOKUP(B5009,辅助信息!E:M,9,FALSE)</f>
        <v>ZTWM-CDGS-XS-2025-0156-五冶钢构-2025年九月第一批次钢筋采购合同(三圣乡项目)-中铁物贸成都公司</v>
      </c>
      <c r="R5009" s="29" t="str">
        <f>_xlfn._xlws.FILTER(辅助信息!D:D,辅助信息!E:E=B5009)</f>
        <v>五冶钢构龙泉东洪片区(70亩、85亩)住宅、商业及配套工程项目</v>
      </c>
    </row>
    <row r="5010" spans="2:18">
      <c r="B5010" s="136" t="s">
        <v>229</v>
      </c>
      <c r="C5010" s="70">
        <v>45960</v>
      </c>
      <c r="D5010" s="120" t="str">
        <f>VLOOKUP(B5010,辅助信息!E:K,7,FALSE)</f>
        <v>JWDDCD2025092400212</v>
      </c>
      <c r="E5010" s="120" t="str">
        <f>VLOOKUP(F5010,辅助信息!A:B,2,FALSE)</f>
        <v>螺纹钢</v>
      </c>
      <c r="F5010" s="120" t="s">
        <v>58</v>
      </c>
      <c r="G5010" s="121">
        <v>6</v>
      </c>
      <c r="H5010" s="134" t="str">
        <f>IF(SUMIFS('[1]2025年已发货'!$E:$E,'[1]2025年已发货'!$F:$F,C5010,'[1]2025年已发货'!$C:$C,F5010,'[1]2025年已发货'!$G:$G,I5010,'[1]2025年已发货'!$H:$H,J5010)=0,"未发货",SUMIFS('[1]2025年已发货'!$E:$E,'[1]2025年已发货'!$F:$F,C5010,'[1]2025年已发货'!$C:$C,F5010,'[1]2025年已发货'!$G:$G,I5010,'[1]2025年已发货'!$H:$H,J5010))</f>
        <v>未发货</v>
      </c>
      <c r="I5010" s="156" t="str">
        <f>VLOOKUP(B5010,辅助信息!E:I,3,FALSE)</f>
        <v>(五冶钢构龙泉东洪片区85亩住宅、商业及配套工程项目三标段)成都市龙泉驿外东洪路地铁2号线惠王陵地铁C口</v>
      </c>
      <c r="J5010" s="120" t="str">
        <f>VLOOKUP(B5010,辅助信息!E:I,4,FALSE)</f>
        <v>王军宝</v>
      </c>
      <c r="K5010" s="120">
        <f>VLOOKUP(J5010,辅助信息!H:I,2,FALSE)</f>
        <v>13889142392</v>
      </c>
      <c r="L5010" s="122">
        <f>VLOOKUP(B5010,辅助信息!E:J,6,FALSE)</f>
        <v>0</v>
      </c>
      <c r="M5010" s="91">
        <v>45950</v>
      </c>
      <c r="O5010" s="62">
        <f ca="1" t="shared" si="238"/>
        <v>0</v>
      </c>
      <c r="P5010" s="62">
        <f ca="1" t="shared" si="239"/>
        <v>10</v>
      </c>
      <c r="Q5010" s="29" t="str">
        <f>VLOOKUP(B5010,辅助信息!E:M,9,FALSE)</f>
        <v>ZTWM-CDGS-XS-2025-0156-五冶钢构-2025年九月第一批次钢筋采购合同(三圣乡项目)-中铁物贸成都公司</v>
      </c>
      <c r="R5010" s="29" t="str">
        <f>_xlfn._xlws.FILTER(辅助信息!D:D,辅助信息!E:E=B5010)</f>
        <v>五冶钢构龙泉东洪片区(70亩、85亩)住宅、商业及配套工程项目</v>
      </c>
    </row>
    <row r="5011" spans="2:18">
      <c r="B5011" s="136" t="s">
        <v>229</v>
      </c>
      <c r="C5011" s="70">
        <v>45960</v>
      </c>
      <c r="D5011" s="120" t="str">
        <f>VLOOKUP(B5011,辅助信息!E:K,7,FALSE)</f>
        <v>JWDDCD2025092400212</v>
      </c>
      <c r="E5011" s="120" t="str">
        <f>VLOOKUP(F5011,辅助信息!A:B,2,FALSE)</f>
        <v>螺纹钢</v>
      </c>
      <c r="F5011" s="120" t="s">
        <v>46</v>
      </c>
      <c r="G5011" s="121">
        <v>9</v>
      </c>
      <c r="H5011" s="134" t="str">
        <f>IF(SUMIFS('[1]2025年已发货'!$E:$E,'[1]2025年已发货'!$F:$F,C5011,'[1]2025年已发货'!$C:$C,F5011,'[1]2025年已发货'!$G:$G,I5011,'[1]2025年已发货'!$H:$H,J5011)=0,"未发货",SUMIFS('[1]2025年已发货'!$E:$E,'[1]2025年已发货'!$F:$F,C5011,'[1]2025年已发货'!$C:$C,F5011,'[1]2025年已发货'!$G:$G,I5011,'[1]2025年已发货'!$H:$H,J5011))</f>
        <v>未发货</v>
      </c>
      <c r="I5011" s="156" t="str">
        <f>VLOOKUP(B5011,辅助信息!E:I,3,FALSE)</f>
        <v>(五冶钢构龙泉东洪片区85亩住宅、商业及配套工程项目三标段)成都市龙泉驿外东洪路地铁2号线惠王陵地铁C口</v>
      </c>
      <c r="J5011" s="120" t="str">
        <f>VLOOKUP(B5011,辅助信息!E:I,4,FALSE)</f>
        <v>王军宝</v>
      </c>
      <c r="K5011" s="120">
        <f>VLOOKUP(J5011,辅助信息!H:I,2,FALSE)</f>
        <v>13889142392</v>
      </c>
      <c r="L5011" s="122">
        <f>VLOOKUP(B5011,辅助信息!E:J,6,FALSE)</f>
        <v>0</v>
      </c>
      <c r="M5011" s="91">
        <v>45950</v>
      </c>
      <c r="O5011" s="62">
        <f ca="1" t="shared" si="238"/>
        <v>0</v>
      </c>
      <c r="P5011" s="62">
        <f ca="1" t="shared" si="239"/>
        <v>10</v>
      </c>
      <c r="Q5011" s="29" t="str">
        <f>VLOOKUP(B5011,辅助信息!E:M,9,FALSE)</f>
        <v>ZTWM-CDGS-XS-2025-0156-五冶钢构-2025年九月第一批次钢筋采购合同(三圣乡项目)-中铁物贸成都公司</v>
      </c>
      <c r="R5011" s="29" t="str">
        <f>_xlfn._xlws.FILTER(辅助信息!D:D,辅助信息!E:E=B5011)</f>
        <v>五冶钢构龙泉东洪片区(70亩、85亩)住宅、商业及配套工程项目</v>
      </c>
    </row>
    <row r="5012" spans="2:18">
      <c r="B5012" s="136" t="s">
        <v>229</v>
      </c>
      <c r="C5012" s="70">
        <v>45960</v>
      </c>
      <c r="D5012" s="120" t="str">
        <f>VLOOKUP(B5012,辅助信息!E:K,7,FALSE)</f>
        <v>JWDDCD2025092400212</v>
      </c>
      <c r="E5012" s="120" t="str">
        <f>VLOOKUP(F5012,辅助信息!A:B,2,FALSE)</f>
        <v>螺纹钢</v>
      </c>
      <c r="F5012" s="120" t="s">
        <v>22</v>
      </c>
      <c r="G5012" s="121">
        <v>21</v>
      </c>
      <c r="H5012" s="134" t="str">
        <f>IF(SUMIFS('[1]2025年已发货'!$E:$E,'[1]2025年已发货'!$F:$F,C5012,'[1]2025年已发货'!$C:$C,F5012,'[1]2025年已发货'!$G:$G,I5012,'[1]2025年已发货'!$H:$H,J5012)=0,"未发货",SUMIFS('[1]2025年已发货'!$E:$E,'[1]2025年已发货'!$F:$F,C5012,'[1]2025年已发货'!$C:$C,F5012,'[1]2025年已发货'!$G:$G,I5012,'[1]2025年已发货'!$H:$H,J5012))</f>
        <v>未发货</v>
      </c>
      <c r="I5012" s="156" t="str">
        <f>VLOOKUP(B5012,辅助信息!E:I,3,FALSE)</f>
        <v>(五冶钢构龙泉东洪片区85亩住宅、商业及配套工程项目三标段)成都市龙泉驿外东洪路地铁2号线惠王陵地铁C口</v>
      </c>
      <c r="J5012" s="120" t="str">
        <f>VLOOKUP(B5012,辅助信息!E:I,4,FALSE)</f>
        <v>王军宝</v>
      </c>
      <c r="K5012" s="120">
        <f>VLOOKUP(J5012,辅助信息!H:I,2,FALSE)</f>
        <v>13889142392</v>
      </c>
      <c r="L5012" s="122">
        <f>VLOOKUP(B5012,辅助信息!E:J,6,FALSE)</f>
        <v>0</v>
      </c>
      <c r="M5012" s="91">
        <v>45950</v>
      </c>
      <c r="O5012" s="62">
        <f ca="1" t="shared" si="238"/>
        <v>0</v>
      </c>
      <c r="P5012" s="62">
        <f ca="1" t="shared" si="239"/>
        <v>10</v>
      </c>
      <c r="Q5012" s="29" t="str">
        <f>VLOOKUP(B5012,辅助信息!E:M,9,FALSE)</f>
        <v>ZTWM-CDGS-XS-2025-0156-五冶钢构-2025年九月第一批次钢筋采购合同(三圣乡项目)-中铁物贸成都公司</v>
      </c>
      <c r="R5012" s="29" t="str">
        <f>_xlfn._xlws.FILTER(辅助信息!D:D,辅助信息!E:E=B5012)</f>
        <v>五冶钢构龙泉东洪片区(70亩、85亩)住宅、商业及配套工程项目</v>
      </c>
    </row>
    <row r="5013" spans="2:18">
      <c r="B5013" s="136" t="s">
        <v>228</v>
      </c>
      <c r="C5013" s="70">
        <v>45960</v>
      </c>
      <c r="D5013" s="120" t="str">
        <f>VLOOKUP(B5013,辅助信息!E:K,7,FALSE)</f>
        <v>JWDDCD2025092400190</v>
      </c>
      <c r="E5013" s="120" t="str">
        <f>VLOOKUP(F5013,辅助信息!A:B,2,FALSE)</f>
        <v>高线</v>
      </c>
      <c r="F5013" s="120" t="s">
        <v>53</v>
      </c>
      <c r="G5013" s="121">
        <v>2</v>
      </c>
      <c r="H5013" s="134" t="str">
        <f>IF(SUMIFS('[1]2025年已发货'!$E:$E,'[1]2025年已发货'!$F:$F,C5013,'[1]2025年已发货'!$C:$C,F5013,'[1]2025年已发货'!$G:$G,I5013,'[1]2025年已发货'!$H:$H,J5013)=0,"未发货",SUMIFS('[1]2025年已发货'!$E:$E,'[1]2025年已发货'!$F:$F,C5013,'[1]2025年已发货'!$C:$C,F5013,'[1]2025年已发货'!$G:$G,I5013,'[1]2025年已发货'!$H:$H,J5013))</f>
        <v>未发货</v>
      </c>
      <c r="I5013" s="156" t="str">
        <f>VLOOKUP(B5013,辅助信息!E:I,3,FALSE)</f>
        <v>(五冶钢构龙泉东洪片区70亩住宅、商业及配套工程项目二标段)成都市龙泉驿外东洪路地铁2号线惠王陵地铁C口</v>
      </c>
      <c r="J5013" s="120" t="str">
        <f>VLOOKUP(B5013,辅助信息!E:I,4,FALSE)</f>
        <v>蒋嗣伟</v>
      </c>
      <c r="K5013" s="120">
        <f>VLOOKUP(J5013,辅助信息!H:I,2,FALSE)</f>
        <v>15014331252</v>
      </c>
      <c r="L5013" s="122">
        <f>VLOOKUP(B5013,辅助信息!E:J,6,FALSE)</f>
        <v>0</v>
      </c>
      <c r="M5013" s="91">
        <v>45953</v>
      </c>
      <c r="O5013" s="62">
        <f ca="1" t="shared" si="238"/>
        <v>0</v>
      </c>
      <c r="P5013" s="62">
        <f ca="1" t="shared" si="239"/>
        <v>7</v>
      </c>
      <c r="Q5013" s="29" t="str">
        <f>VLOOKUP(B5013,辅助信息!E:M,9,FALSE)</f>
        <v>ZTWM-CDGS-XS-2025-0156-五冶钢构-2025年九月第一批次钢筋采购合同(三圣乡项目)-中铁物贸成都公司</v>
      </c>
      <c r="R5013" s="29" t="str">
        <f>_xlfn._xlws.FILTER(辅助信息!D:D,辅助信息!E:E=B5013)</f>
        <v>五冶钢构龙泉东洪片区(70亩、85亩)住宅、商业及配套工程项目</v>
      </c>
    </row>
    <row r="5014" hidden="1" spans="2:18">
      <c r="B5014" s="136" t="s">
        <v>240</v>
      </c>
      <c r="C5014" s="70">
        <v>45958</v>
      </c>
      <c r="D5014" s="120" t="str">
        <f>VLOOKUP(B5014,辅助信息!E:K,7,FALSE)</f>
        <v>JWDDCD2025092400204</v>
      </c>
      <c r="E5014" s="120" t="str">
        <f>VLOOKUP(F5014,辅助信息!A:B,2,FALSE)</f>
        <v>螺纹钢</v>
      </c>
      <c r="F5014" s="120" t="s">
        <v>32</v>
      </c>
      <c r="G5014" s="121">
        <v>30</v>
      </c>
      <c r="H5014" s="134">
        <f>IF(SUMIFS('[1]2025年已发货'!$E:$E,'[1]2025年已发货'!$F:$F,C5014,'[1]2025年已发货'!$C:$C,F5014,'[1]2025年已发货'!$G:$G,I5014,'[1]2025年已发货'!$H:$H,J5014)=0,"未发货",SUMIFS('[1]2025年已发货'!$E:$E,'[1]2025年已发货'!$F:$F,C5014,'[1]2025年已发货'!$C:$C,F5014,'[1]2025年已发货'!$G:$G,I5014,'[1]2025年已发货'!$H:$H,J5014))</f>
        <v>30</v>
      </c>
      <c r="I5014" s="156" t="str">
        <f>VLOOKUP(B5014,辅助信息!E:I,3,FALSE)</f>
        <v>(五冶钢构龙泉东洪片区70亩住宅、商业及配套工程项目三标段)成都市龙泉驿外东洪路地铁2号线惠王陵地铁C口</v>
      </c>
      <c r="J5014" s="120" t="str">
        <f>VLOOKUP(B5014,辅助信息!E:I,4,FALSE)</f>
        <v>蒋嗣伟</v>
      </c>
      <c r="K5014" s="120">
        <f>VLOOKUP(J5014,辅助信息!H:I,2,FALSE)</f>
        <v>15014331252</v>
      </c>
      <c r="L5014" s="122">
        <f>VLOOKUP(B5014,辅助信息!E:J,6,FALSE)</f>
        <v>0</v>
      </c>
      <c r="M5014" s="91">
        <v>45954</v>
      </c>
      <c r="O5014" s="62">
        <f ca="1" t="shared" si="238"/>
        <v>0</v>
      </c>
      <c r="P5014" s="62">
        <f ca="1" t="shared" si="239"/>
        <v>6</v>
      </c>
      <c r="Q5014" s="29" t="str">
        <f>VLOOKUP(B5014,辅助信息!E:M,9,FALSE)</f>
        <v>ZTWM-CDGS-XS-2025-0156-五冶钢构-2025年九月第一批次钢筋采购合同(三圣乡项目)-中铁物贸成都公司</v>
      </c>
      <c r="R5014" s="29" t="str">
        <f>_xlfn._xlws.FILTER(辅助信息!D:D,辅助信息!E:E=B5014)</f>
        <v>五冶钢构龙泉东洪片区(70亩、85亩)住宅、商业及配套工程项目</v>
      </c>
    </row>
    <row r="5015" hidden="1" spans="2:18">
      <c r="B5015" s="136" t="s">
        <v>240</v>
      </c>
      <c r="C5015" s="70">
        <v>45958</v>
      </c>
      <c r="D5015" s="120" t="str">
        <f>VLOOKUP(B5015,辅助信息!E:K,7,FALSE)</f>
        <v>JWDDCD2025092400204</v>
      </c>
      <c r="E5015" s="120" t="str">
        <f>VLOOKUP(F5015,辅助信息!A:B,2,FALSE)</f>
        <v>螺纹钢</v>
      </c>
      <c r="F5015" s="120" t="s">
        <v>30</v>
      </c>
      <c r="G5015" s="121">
        <v>6</v>
      </c>
      <c r="H5015" s="134">
        <f>IF(SUMIFS('[1]2025年已发货'!$E:$E,'[1]2025年已发货'!$F:$F,C5015,'[1]2025年已发货'!$C:$C,F5015,'[1]2025年已发货'!$G:$G,I5015,'[1]2025年已发货'!$H:$H,J5015)=0,"未发货",SUMIFS('[1]2025年已发货'!$E:$E,'[1]2025年已发货'!$F:$F,C5015,'[1]2025年已发货'!$C:$C,F5015,'[1]2025年已发货'!$G:$G,I5015,'[1]2025年已发货'!$H:$H,J5015))</f>
        <v>5</v>
      </c>
      <c r="I5015" s="156" t="str">
        <f>VLOOKUP(B5015,辅助信息!E:I,3,FALSE)</f>
        <v>(五冶钢构龙泉东洪片区70亩住宅、商业及配套工程项目三标段)成都市龙泉驿外东洪路地铁2号线惠王陵地铁C口</v>
      </c>
      <c r="J5015" s="120" t="str">
        <f>VLOOKUP(B5015,辅助信息!E:I,4,FALSE)</f>
        <v>蒋嗣伟</v>
      </c>
      <c r="K5015" s="120">
        <f>VLOOKUP(J5015,辅助信息!H:I,2,FALSE)</f>
        <v>15014331252</v>
      </c>
      <c r="L5015" s="122">
        <f>VLOOKUP(B5015,辅助信息!E:J,6,FALSE)</f>
        <v>0</v>
      </c>
      <c r="M5015" s="91">
        <v>45954</v>
      </c>
      <c r="O5015" s="62">
        <f ca="1" t="shared" si="238"/>
        <v>0</v>
      </c>
      <c r="P5015" s="62">
        <f ca="1" t="shared" si="239"/>
        <v>6</v>
      </c>
      <c r="Q5015" s="29" t="str">
        <f>VLOOKUP(B5015,辅助信息!E:M,9,FALSE)</f>
        <v>ZTWM-CDGS-XS-2025-0156-五冶钢构-2025年九月第一批次钢筋采购合同(三圣乡项目)-中铁物贸成都公司</v>
      </c>
      <c r="R5015" s="29" t="str">
        <f>_xlfn._xlws.FILTER(辅助信息!D:D,辅助信息!E:E=B5015)</f>
        <v>五冶钢构龙泉东洪片区(70亩、85亩)住宅、商业及配套工程项目</v>
      </c>
    </row>
    <row r="5016" spans="2:18">
      <c r="B5016" s="136" t="s">
        <v>225</v>
      </c>
      <c r="C5016" s="70">
        <v>45960</v>
      </c>
      <c r="D5016" s="120" t="str">
        <f>VLOOKUP(B5016,辅助信息!E:K,7,FALSE)</f>
        <v>JWDDCD2025092400210</v>
      </c>
      <c r="E5016" s="120" t="str">
        <f>VLOOKUP(F5016,辅助信息!A:B,2,FALSE)</f>
        <v>盘螺</v>
      </c>
      <c r="F5016" s="120" t="s">
        <v>40</v>
      </c>
      <c r="G5016" s="121">
        <v>35</v>
      </c>
      <c r="H5016" s="134" t="str">
        <f>IF(SUMIFS('[1]2025年已发货'!$E:$E,'[1]2025年已发货'!$F:$F,C5016,'[1]2025年已发货'!$C:$C,F5016,'[1]2025年已发货'!$G:$G,I5016,'[1]2025年已发货'!$H:$H,J5016)=0,"未发货",SUMIFS('[1]2025年已发货'!$E:$E,'[1]2025年已发货'!$F:$F,C5016,'[1]2025年已发货'!$C:$C,F5016,'[1]2025年已发货'!$G:$G,I5016,'[1]2025年已发货'!$H:$H,J5016))</f>
        <v>未发货</v>
      </c>
      <c r="I5016" s="156" t="str">
        <f>VLOOKUP(B5016,辅助信息!E:I,3,FALSE)</f>
        <v>(五冶钢构龙泉东洪片区85亩住宅、商业及配套工程项目一标段)成都市龙泉驿外东洪路地铁2号线惠王陵地铁C口</v>
      </c>
      <c r="J5016" s="120" t="str">
        <f>VLOOKUP(B5016,辅助信息!E:I,4,FALSE)</f>
        <v>岳工</v>
      </c>
      <c r="K5016" s="120">
        <f>VLOOKUP(J5016,辅助信息!H:I,2,FALSE)</f>
        <v>18599951655</v>
      </c>
      <c r="L5016" s="122">
        <f>VLOOKUP(B5016,辅助信息!E:J,6,FALSE)</f>
        <v>0</v>
      </c>
      <c r="M5016" s="91">
        <v>45954</v>
      </c>
      <c r="O5016" s="62">
        <f ca="1" t="shared" si="238"/>
        <v>0</v>
      </c>
      <c r="P5016" s="62">
        <f ca="1" t="shared" si="239"/>
        <v>6</v>
      </c>
      <c r="Q5016" s="29" t="str">
        <f>VLOOKUP(B5016,辅助信息!E:M,9,FALSE)</f>
        <v>ZTWM-CDGS-XS-2025-0156-五冶钢构-2025年九月第一批次钢筋采购合同(三圣乡项目)-中铁物贸成都公司</v>
      </c>
      <c r="R5016" s="29" t="str">
        <f>_xlfn._xlws.FILTER(辅助信息!D:D,辅助信息!E:E=B5016)</f>
        <v>五冶钢构龙泉东洪片区(70亩、85亩)住宅、商业及配套工程项目</v>
      </c>
    </row>
    <row r="5017" hidden="1" spans="2:18">
      <c r="B5017" s="135" t="s">
        <v>150</v>
      </c>
      <c r="C5017" s="70">
        <v>45958</v>
      </c>
      <c r="D5017" s="40" t="str">
        <f>VLOOKUP(B5017,辅助信息!E:K,7,FALSE)</f>
        <v>JWDDCD2025050800101</v>
      </c>
      <c r="E5017" s="40" t="str">
        <f>VLOOKUP(F5017,辅助信息!A:B,2,FALSE)</f>
        <v>盘螺</v>
      </c>
      <c r="F5017" s="40" t="s">
        <v>41</v>
      </c>
      <c r="G5017" s="36">
        <v>20</v>
      </c>
      <c r="H5017" s="134">
        <f>IF(SUMIFS('[1]2025年已发货'!$E:$E,'[1]2025年已发货'!$F:$F,C5017,'[1]2025年已发货'!$C:$C,F5017,'[1]2025年已发货'!$G:$G,I5017,'[1]2025年已发货'!$H:$H,J5017)=0,"未发货",SUMIFS('[1]2025年已发货'!$E:$E,'[1]2025年已发货'!$F:$F,C5017,'[1]2025年已发货'!$C:$C,F5017,'[1]2025年已发货'!$G:$G,I5017,'[1]2025年已发货'!$H:$H,J5017))</f>
        <v>20</v>
      </c>
      <c r="I5017" s="39" t="str">
        <f>VLOOKUP(B5017,辅助信息!E:I,3,FALSE)</f>
        <v>(中铁科研院宜宾泥溪项目)中铁科研院集团有限公司宜宾市泥溪东互通式立交下穿成贵客专铁路工程项目钢筋加工厂</v>
      </c>
      <c r="J5017" s="40" t="str">
        <f>VLOOKUP(B5017,辅助信息!E:I,4,FALSE)</f>
        <v>蔡鹏</v>
      </c>
      <c r="K5017" s="40">
        <f>VLOOKUP(J5017,辅助信息!H:I,2,FALSE)</f>
        <v>19130850820</v>
      </c>
      <c r="L5017" s="109" t="str">
        <f>VLOOKUP(B5017,辅助信息!E:J,6,FALSE)</f>
        <v>装货前联系收货人核实到场规格，货物最下面用方木垫下方便卸货</v>
      </c>
      <c r="M5017" s="91">
        <v>45954</v>
      </c>
      <c r="O5017" s="62">
        <f ca="1" t="shared" si="238"/>
        <v>0</v>
      </c>
      <c r="P5017" s="62">
        <f ca="1" t="shared" si="239"/>
        <v>6</v>
      </c>
      <c r="Q5017" s="29" t="str">
        <f>VLOOKUP(B5017,辅助信息!E:M,9,FALSE)</f>
        <v>ZTWM-CDGS-XS-2025-0050-中铁科研院-宜宾泥溪项目</v>
      </c>
      <c r="R5017" s="29" t="str">
        <f>_xlfn._xlws.FILTER(辅助信息!D:D,辅助信息!E:E=B5017)</f>
        <v>中铁科研院宜宾泥溪项目</v>
      </c>
    </row>
    <row r="5018" hidden="1" spans="2:18">
      <c r="B5018" s="135" t="s">
        <v>150</v>
      </c>
      <c r="C5018" s="70">
        <v>45958</v>
      </c>
      <c r="D5018" s="40" t="str">
        <f>VLOOKUP(B5018,辅助信息!E:K,7,FALSE)</f>
        <v>JWDDCD2025050800101</v>
      </c>
      <c r="E5018" s="40" t="str">
        <f>VLOOKUP(F5018,辅助信息!A:B,2,FALSE)</f>
        <v>盘螺</v>
      </c>
      <c r="F5018" s="40" t="s">
        <v>26</v>
      </c>
      <c r="G5018" s="36">
        <v>40</v>
      </c>
      <c r="H5018" s="134">
        <f>IF(SUMIFS('[1]2025年已发货'!$E:$E,'[1]2025年已发货'!$F:$F,C5018,'[1]2025年已发货'!$C:$C,F5018,'[1]2025年已发货'!$G:$G,I5018,'[1]2025年已发货'!$H:$H,J5018)=0,"未发货",SUMIFS('[1]2025年已发货'!$E:$E,'[1]2025年已发货'!$F:$F,C5018,'[1]2025年已发货'!$C:$C,F5018,'[1]2025年已发货'!$G:$G,I5018,'[1]2025年已发货'!$H:$H,J5018))</f>
        <v>40</v>
      </c>
      <c r="I5018" s="39" t="str">
        <f>VLOOKUP(B5018,辅助信息!E:I,3,FALSE)</f>
        <v>(中铁科研院宜宾泥溪项目)中铁科研院集团有限公司宜宾市泥溪东互通式立交下穿成贵客专铁路工程项目钢筋加工厂</v>
      </c>
      <c r="J5018" s="40" t="str">
        <f>VLOOKUP(B5018,辅助信息!E:I,4,FALSE)</f>
        <v>蔡鹏</v>
      </c>
      <c r="K5018" s="40">
        <f>VLOOKUP(J5018,辅助信息!H:I,2,FALSE)</f>
        <v>19130850820</v>
      </c>
      <c r="L5018" s="109" t="str">
        <f>VLOOKUP(B5018,辅助信息!E:J,6,FALSE)</f>
        <v>装货前联系收货人核实到场规格，货物最下面用方木垫下方便卸货</v>
      </c>
      <c r="M5018" s="91">
        <v>45954</v>
      </c>
      <c r="O5018" s="62">
        <f ca="1" t="shared" si="238"/>
        <v>0</v>
      </c>
      <c r="P5018" s="62">
        <f ca="1" t="shared" si="239"/>
        <v>6</v>
      </c>
      <c r="Q5018" s="29" t="str">
        <f>VLOOKUP(B5018,辅助信息!E:M,9,FALSE)</f>
        <v>ZTWM-CDGS-XS-2025-0050-中铁科研院-宜宾泥溪项目</v>
      </c>
      <c r="R5018" s="29" t="str">
        <f>_xlfn._xlws.FILTER(辅助信息!D:D,辅助信息!E:E=B5018)</f>
        <v>中铁科研院宜宾泥溪项目</v>
      </c>
    </row>
    <row r="5019" hidden="1" spans="2:18">
      <c r="B5019" s="135" t="s">
        <v>150</v>
      </c>
      <c r="C5019" s="70">
        <v>45958</v>
      </c>
      <c r="D5019" s="40" t="str">
        <f>VLOOKUP(B5019,辅助信息!E:K,7,FALSE)</f>
        <v>JWDDCD2025050800101</v>
      </c>
      <c r="E5019" s="40" t="str">
        <f>VLOOKUP(F5019,辅助信息!A:B,2,FALSE)</f>
        <v>螺纹钢</v>
      </c>
      <c r="F5019" s="40" t="s">
        <v>32</v>
      </c>
      <c r="G5019" s="36">
        <v>11</v>
      </c>
      <c r="H5019" s="134">
        <f>IF(SUMIFS('[1]2025年已发货'!$E:$E,'[1]2025年已发货'!$F:$F,C5019,'[1]2025年已发货'!$C:$C,F5019,'[1]2025年已发货'!$G:$G,I5019,'[1]2025年已发货'!$H:$H,J5019)=0,"未发货",SUMIFS('[1]2025年已发货'!$E:$E,'[1]2025年已发货'!$F:$F,C5019,'[1]2025年已发货'!$C:$C,F5019,'[1]2025年已发货'!$G:$G,I5019,'[1]2025年已发货'!$H:$H,J5019))</f>
        <v>11</v>
      </c>
      <c r="I5019" s="39" t="str">
        <f>VLOOKUP(B5019,辅助信息!E:I,3,FALSE)</f>
        <v>(中铁科研院宜宾泥溪项目)中铁科研院集团有限公司宜宾市泥溪东互通式立交下穿成贵客专铁路工程项目钢筋加工厂</v>
      </c>
      <c r="J5019" s="40" t="str">
        <f>VLOOKUP(B5019,辅助信息!E:I,4,FALSE)</f>
        <v>蔡鹏</v>
      </c>
      <c r="K5019" s="40">
        <f>VLOOKUP(J5019,辅助信息!H:I,2,FALSE)</f>
        <v>19130850820</v>
      </c>
      <c r="L5019" s="109" t="str">
        <f>VLOOKUP(B5019,辅助信息!E:J,6,FALSE)</f>
        <v>装货前联系收货人核实到场规格，货物最下面用方木垫下方便卸货</v>
      </c>
      <c r="M5019" s="91">
        <v>45954</v>
      </c>
      <c r="O5019" s="62">
        <f ca="1" t="shared" si="238"/>
        <v>0</v>
      </c>
      <c r="P5019" s="62">
        <f ca="1" t="shared" si="239"/>
        <v>6</v>
      </c>
      <c r="Q5019" s="29" t="str">
        <f>VLOOKUP(B5019,辅助信息!E:M,9,FALSE)</f>
        <v>ZTWM-CDGS-XS-2025-0050-中铁科研院-宜宾泥溪项目</v>
      </c>
      <c r="R5019" s="29" t="str">
        <f>_xlfn._xlws.FILTER(辅助信息!D:D,辅助信息!E:E=B5019)</f>
        <v>中铁科研院宜宾泥溪项目</v>
      </c>
    </row>
    <row r="5020" hidden="1" spans="2:18">
      <c r="B5020" s="135" t="s">
        <v>224</v>
      </c>
      <c r="C5020" s="70">
        <v>45959</v>
      </c>
      <c r="D5020" s="40" t="str">
        <f>VLOOKUP(B5020,辅助信息!E:K,7,FALSE)</f>
        <v>JWDDCD2025092400188</v>
      </c>
      <c r="E5020" s="40" t="str">
        <f>VLOOKUP(F5020,辅助信息!A:B,2,FALSE)</f>
        <v>螺纹钢</v>
      </c>
      <c r="F5020" s="97" t="s">
        <v>27</v>
      </c>
      <c r="G5020" s="36">
        <v>35</v>
      </c>
      <c r="H5020" s="134">
        <v>35</v>
      </c>
      <c r="I5020" s="39" t="str">
        <f>VLOOKUP(B5020,辅助信息!E:I,3,FALSE)</f>
        <v>(五冶钢构龙泉东洪片区70亩住宅、商业及配套工程项目一标段)成都市龙泉驿外东洪路地铁2号线惠王陵地铁C口</v>
      </c>
      <c r="J5020" s="40" t="str">
        <f>VLOOKUP(B5020,辅助信息!E:I,4,FALSE)</f>
        <v>邹爱国</v>
      </c>
      <c r="K5020" s="40">
        <f>VLOOKUP(J5020,辅助信息!H:I,2,FALSE)</f>
        <v>13540231225</v>
      </c>
      <c r="L5020" s="109">
        <f>VLOOKUP(B5020,辅助信息!E:J,6,FALSE)</f>
        <v>0</v>
      </c>
      <c r="M5020" s="91">
        <v>45954</v>
      </c>
      <c r="O5020" s="62">
        <f ca="1" t="shared" si="238"/>
        <v>0</v>
      </c>
      <c r="P5020" s="62">
        <f ca="1" t="shared" si="239"/>
        <v>6</v>
      </c>
      <c r="Q5020" s="29" t="str">
        <f>VLOOKUP(B5020,辅助信息!E:M,9,FALSE)</f>
        <v>ZTWM-CDGS-XS-2025-0156-五冶钢构-2025年九月第一批次钢筋采购合同(三圣乡项目)-中铁物贸成都公司</v>
      </c>
      <c r="R5020" s="29" t="str">
        <f>_xlfn._xlws.FILTER(辅助信息!D:D,辅助信息!E:E=B5020)</f>
        <v>五冶钢构龙泉东洪片区(70亩、85亩)住宅、商业及配套工程项目</v>
      </c>
    </row>
    <row r="5021" hidden="1" spans="2:18">
      <c r="B5021" s="135" t="s">
        <v>224</v>
      </c>
      <c r="C5021" s="70">
        <v>45959</v>
      </c>
      <c r="D5021" s="40" t="str">
        <f>VLOOKUP(B5021,辅助信息!E:K,7,FALSE)</f>
        <v>JWDDCD2025092400188</v>
      </c>
      <c r="E5021" s="40" t="str">
        <f>VLOOKUP(F5021,辅助信息!A:B,2,FALSE)</f>
        <v>螺纹钢</v>
      </c>
      <c r="F5021" s="40" t="s">
        <v>27</v>
      </c>
      <c r="G5021" s="36">
        <v>10</v>
      </c>
      <c r="H5021" s="134">
        <v>10</v>
      </c>
      <c r="I5021" s="39" t="str">
        <f>VLOOKUP(B5021,辅助信息!E:I,3,FALSE)</f>
        <v>(五冶钢构龙泉东洪片区70亩住宅、商业及配套工程项目一标段)成都市龙泉驿外东洪路地铁2号线惠王陵地铁C口</v>
      </c>
      <c r="J5021" s="40" t="str">
        <f>VLOOKUP(B5021,辅助信息!E:I,4,FALSE)</f>
        <v>邹爱国</v>
      </c>
      <c r="K5021" s="40">
        <f>VLOOKUP(J5021,辅助信息!H:I,2,FALSE)</f>
        <v>13540231225</v>
      </c>
      <c r="L5021" s="109">
        <f>VLOOKUP(B5021,辅助信息!E:J,6,FALSE)</f>
        <v>0</v>
      </c>
      <c r="M5021" s="91">
        <v>45954</v>
      </c>
      <c r="O5021" s="62">
        <f ca="1" t="shared" si="238"/>
        <v>0</v>
      </c>
      <c r="P5021" s="62">
        <f ca="1" t="shared" si="239"/>
        <v>6</v>
      </c>
      <c r="Q5021" s="29" t="str">
        <f>VLOOKUP(B5021,辅助信息!E:M,9,FALSE)</f>
        <v>ZTWM-CDGS-XS-2025-0156-五冶钢构-2025年九月第一批次钢筋采购合同(三圣乡项目)-中铁物贸成都公司</v>
      </c>
      <c r="R5021" s="29" t="str">
        <f>_xlfn._xlws.FILTER(辅助信息!D:D,辅助信息!E:E=B5021)</f>
        <v>五冶钢构龙泉东洪片区(70亩、85亩)住宅、商业及配套工程项目</v>
      </c>
    </row>
    <row r="5022" hidden="1" spans="2:18">
      <c r="B5022" s="135" t="s">
        <v>224</v>
      </c>
      <c r="C5022" s="70">
        <v>45959</v>
      </c>
      <c r="D5022" s="40" t="str">
        <f>VLOOKUP(B5022,辅助信息!E:K,7,FALSE)</f>
        <v>JWDDCD2025092400188</v>
      </c>
      <c r="E5022" s="40" t="str">
        <f>VLOOKUP(F5022,辅助信息!A:B,2,FALSE)</f>
        <v>螺纹钢</v>
      </c>
      <c r="F5022" s="40" t="s">
        <v>19</v>
      </c>
      <c r="G5022" s="36">
        <v>10</v>
      </c>
      <c r="H5022" s="134">
        <f>IF(SUMIFS('[1]2025年已发货'!$E:$E,'[1]2025年已发货'!$F:$F,C5022,'[1]2025年已发货'!$C:$C,F5022,'[1]2025年已发货'!$G:$G,I5022,'[1]2025年已发货'!$H:$H,J5022)=0,"未发货",SUMIFS('[1]2025年已发货'!$E:$E,'[1]2025年已发货'!$F:$F,C5022,'[1]2025年已发货'!$C:$C,F5022,'[1]2025年已发货'!$G:$G,I5022,'[1]2025年已发货'!$H:$H,J5022))</f>
        <v>10</v>
      </c>
      <c r="I5022" s="39" t="str">
        <f>VLOOKUP(B5022,辅助信息!E:I,3,FALSE)</f>
        <v>(五冶钢构龙泉东洪片区70亩住宅、商业及配套工程项目一标段)成都市龙泉驿外东洪路地铁2号线惠王陵地铁C口</v>
      </c>
      <c r="J5022" s="40" t="str">
        <f>VLOOKUP(B5022,辅助信息!E:I,4,FALSE)</f>
        <v>邹爱国</v>
      </c>
      <c r="K5022" s="40">
        <f>VLOOKUP(J5022,辅助信息!H:I,2,FALSE)</f>
        <v>13540231225</v>
      </c>
      <c r="L5022" s="109">
        <f>VLOOKUP(B5022,辅助信息!E:J,6,FALSE)</f>
        <v>0</v>
      </c>
      <c r="M5022" s="91">
        <v>45954</v>
      </c>
      <c r="O5022" s="62">
        <f ca="1" t="shared" si="238"/>
        <v>0</v>
      </c>
      <c r="P5022" s="62">
        <f ca="1" t="shared" si="239"/>
        <v>6</v>
      </c>
      <c r="Q5022" s="29" t="str">
        <f>VLOOKUP(B5022,辅助信息!E:M,9,FALSE)</f>
        <v>ZTWM-CDGS-XS-2025-0156-五冶钢构-2025年九月第一批次钢筋采购合同(三圣乡项目)-中铁物贸成都公司</v>
      </c>
      <c r="R5022" s="29" t="str">
        <f>_xlfn._xlws.FILTER(辅助信息!D:D,辅助信息!E:E=B5022)</f>
        <v>五冶钢构龙泉东洪片区(70亩、85亩)住宅、商业及配套工程项目</v>
      </c>
    </row>
    <row r="5023" hidden="1" spans="2:18">
      <c r="B5023" s="135" t="s">
        <v>224</v>
      </c>
      <c r="C5023" s="70">
        <v>45959</v>
      </c>
      <c r="D5023" s="40" t="str">
        <f>VLOOKUP(B5023,辅助信息!E:K,7,FALSE)</f>
        <v>JWDDCD2025092400188</v>
      </c>
      <c r="E5023" s="40" t="str">
        <f>VLOOKUP(F5023,辅助信息!A:B,2,FALSE)</f>
        <v>螺纹钢</v>
      </c>
      <c r="F5023" s="40" t="s">
        <v>32</v>
      </c>
      <c r="G5023" s="36">
        <v>10</v>
      </c>
      <c r="H5023" s="134">
        <f>IF(SUMIFS('[1]2025年已发货'!$E:$E,'[1]2025年已发货'!$F:$F,C5023,'[1]2025年已发货'!$C:$C,F5023,'[1]2025年已发货'!$G:$G,I5023,'[1]2025年已发货'!$H:$H,J5023)=0,"未发货",SUMIFS('[1]2025年已发货'!$E:$E,'[1]2025年已发货'!$F:$F,C5023,'[1]2025年已发货'!$C:$C,F5023,'[1]2025年已发货'!$G:$G,I5023,'[1]2025年已发货'!$H:$H,J5023))</f>
        <v>10</v>
      </c>
      <c r="I5023" s="39" t="str">
        <f>VLOOKUP(B5023,辅助信息!E:I,3,FALSE)</f>
        <v>(五冶钢构龙泉东洪片区70亩住宅、商业及配套工程项目一标段)成都市龙泉驿外东洪路地铁2号线惠王陵地铁C口</v>
      </c>
      <c r="J5023" s="40" t="str">
        <f>VLOOKUP(B5023,辅助信息!E:I,4,FALSE)</f>
        <v>邹爱国</v>
      </c>
      <c r="K5023" s="40">
        <f>VLOOKUP(J5023,辅助信息!H:I,2,FALSE)</f>
        <v>13540231225</v>
      </c>
      <c r="L5023" s="109">
        <f>VLOOKUP(B5023,辅助信息!E:J,6,FALSE)</f>
        <v>0</v>
      </c>
      <c r="M5023" s="91">
        <v>45954</v>
      </c>
      <c r="O5023" s="62">
        <f ca="1" t="shared" si="238"/>
        <v>0</v>
      </c>
      <c r="P5023" s="62">
        <f ca="1" t="shared" si="239"/>
        <v>6</v>
      </c>
      <c r="Q5023" s="29" t="str">
        <f>VLOOKUP(B5023,辅助信息!E:M,9,FALSE)</f>
        <v>ZTWM-CDGS-XS-2025-0156-五冶钢构-2025年九月第一批次钢筋采购合同(三圣乡项目)-中铁物贸成都公司</v>
      </c>
      <c r="R5023" s="29" t="str">
        <f>_xlfn._xlws.FILTER(辅助信息!D:D,辅助信息!E:E=B5023)</f>
        <v>五冶钢构龙泉东洪片区(70亩、85亩)住宅、商业及配套工程项目</v>
      </c>
    </row>
    <row r="5024" hidden="1" spans="2:18">
      <c r="B5024" s="135" t="s">
        <v>224</v>
      </c>
      <c r="C5024" s="70">
        <v>45959</v>
      </c>
      <c r="D5024" s="40" t="str">
        <f>VLOOKUP(B5024,辅助信息!E:K,7,FALSE)</f>
        <v>JWDDCD2025092400188</v>
      </c>
      <c r="E5024" s="40" t="str">
        <f>VLOOKUP(F5024,辅助信息!A:B,2,FALSE)</f>
        <v>螺纹钢</v>
      </c>
      <c r="F5024" s="40" t="s">
        <v>30</v>
      </c>
      <c r="G5024" s="36">
        <v>10</v>
      </c>
      <c r="H5024" s="134">
        <f>IF(SUMIFS('[1]2025年已发货'!$E:$E,'[1]2025年已发货'!$F:$F,C5024,'[1]2025年已发货'!$C:$C,F5024,'[1]2025年已发货'!$G:$G,I5024,'[1]2025年已发货'!$H:$H,J5024)=0,"未发货",SUMIFS('[1]2025年已发货'!$E:$E,'[1]2025年已发货'!$F:$F,C5024,'[1]2025年已发货'!$C:$C,F5024,'[1]2025年已发货'!$G:$G,I5024,'[1]2025年已发货'!$H:$H,J5024))</f>
        <v>10</v>
      </c>
      <c r="I5024" s="39" t="str">
        <f>VLOOKUP(B5024,辅助信息!E:I,3,FALSE)</f>
        <v>(五冶钢构龙泉东洪片区70亩住宅、商业及配套工程项目一标段)成都市龙泉驿外东洪路地铁2号线惠王陵地铁C口</v>
      </c>
      <c r="J5024" s="40" t="str">
        <f>VLOOKUP(B5024,辅助信息!E:I,4,FALSE)</f>
        <v>邹爱国</v>
      </c>
      <c r="K5024" s="40">
        <f>VLOOKUP(J5024,辅助信息!H:I,2,FALSE)</f>
        <v>13540231225</v>
      </c>
      <c r="L5024" s="109">
        <f>VLOOKUP(B5024,辅助信息!E:J,6,FALSE)</f>
        <v>0</v>
      </c>
      <c r="M5024" s="91">
        <v>45954</v>
      </c>
      <c r="O5024" s="62">
        <f ca="1" t="shared" si="238"/>
        <v>0</v>
      </c>
      <c r="P5024" s="62">
        <f ca="1" t="shared" si="239"/>
        <v>6</v>
      </c>
      <c r="Q5024" s="29" t="str">
        <f>VLOOKUP(B5024,辅助信息!E:M,9,FALSE)</f>
        <v>ZTWM-CDGS-XS-2025-0156-五冶钢构-2025年九月第一批次钢筋采购合同(三圣乡项目)-中铁物贸成都公司</v>
      </c>
      <c r="R5024" s="29" t="str">
        <f>_xlfn._xlws.FILTER(辅助信息!D:D,辅助信息!E:E=B5024)</f>
        <v>五冶钢构龙泉东洪片区(70亩、85亩)住宅、商业及配套工程项目</v>
      </c>
    </row>
    <row r="5025" hidden="1" spans="2:18">
      <c r="B5025" s="135" t="s">
        <v>224</v>
      </c>
      <c r="C5025" s="70">
        <v>45959</v>
      </c>
      <c r="D5025" s="40" t="str">
        <f>VLOOKUP(B5025,辅助信息!E:K,7,FALSE)</f>
        <v>JWDDCD2025092400188</v>
      </c>
      <c r="E5025" s="40" t="str">
        <f>VLOOKUP(F5025,辅助信息!A:B,2,FALSE)</f>
        <v>螺纹钢</v>
      </c>
      <c r="F5025" s="40" t="s">
        <v>33</v>
      </c>
      <c r="G5025" s="36">
        <v>10</v>
      </c>
      <c r="H5025" s="134">
        <f>IF(SUMIFS('[1]2025年已发货'!$E:$E,'[1]2025年已发货'!$F:$F,C5025,'[1]2025年已发货'!$C:$C,F5025,'[1]2025年已发货'!$G:$G,I5025,'[1]2025年已发货'!$H:$H,J5025)=0,"未发货",SUMIFS('[1]2025年已发货'!$E:$E,'[1]2025年已发货'!$F:$F,C5025,'[1]2025年已发货'!$C:$C,F5025,'[1]2025年已发货'!$G:$G,I5025,'[1]2025年已发货'!$H:$H,J5025))</f>
        <v>10</v>
      </c>
      <c r="I5025" s="39" t="str">
        <f>VLOOKUP(B5025,辅助信息!E:I,3,FALSE)</f>
        <v>(五冶钢构龙泉东洪片区70亩住宅、商业及配套工程项目一标段)成都市龙泉驿外东洪路地铁2号线惠王陵地铁C口</v>
      </c>
      <c r="J5025" s="40" t="str">
        <f>VLOOKUP(B5025,辅助信息!E:I,4,FALSE)</f>
        <v>邹爱国</v>
      </c>
      <c r="K5025" s="40">
        <f>VLOOKUP(J5025,辅助信息!H:I,2,FALSE)</f>
        <v>13540231225</v>
      </c>
      <c r="L5025" s="109">
        <f>VLOOKUP(B5025,辅助信息!E:J,6,FALSE)</f>
        <v>0</v>
      </c>
      <c r="M5025" s="91">
        <v>45954</v>
      </c>
      <c r="O5025" s="62">
        <f ca="1" t="shared" si="238"/>
        <v>0</v>
      </c>
      <c r="P5025" s="62">
        <f ca="1" t="shared" si="239"/>
        <v>6</v>
      </c>
      <c r="Q5025" s="29" t="str">
        <f>VLOOKUP(B5025,辅助信息!E:M,9,FALSE)</f>
        <v>ZTWM-CDGS-XS-2025-0156-五冶钢构-2025年九月第一批次钢筋采购合同(三圣乡项目)-中铁物贸成都公司</v>
      </c>
      <c r="R5025" s="29" t="str">
        <f>_xlfn._xlws.FILTER(辅助信息!D:D,辅助信息!E:E=B5025)</f>
        <v>五冶钢构龙泉东洪片区(70亩、85亩)住宅、商业及配套工程项目</v>
      </c>
    </row>
    <row r="5026" hidden="1" spans="2:18">
      <c r="B5026" s="135" t="s">
        <v>224</v>
      </c>
      <c r="C5026" s="70">
        <v>45959</v>
      </c>
      <c r="D5026" s="40" t="str">
        <f>VLOOKUP(B5026,辅助信息!E:K,7,FALSE)</f>
        <v>JWDDCD2025092400188</v>
      </c>
      <c r="E5026" s="40" t="str">
        <f>VLOOKUP(F5026,辅助信息!A:B,2,FALSE)</f>
        <v>螺纹钢</v>
      </c>
      <c r="F5026" s="40" t="s">
        <v>28</v>
      </c>
      <c r="G5026" s="36">
        <v>10</v>
      </c>
      <c r="H5026" s="134">
        <f>IF(SUMIFS('[1]2025年已发货'!$E:$E,'[1]2025年已发货'!$F:$F,C5026,'[1]2025年已发货'!$C:$C,F5026,'[1]2025年已发货'!$G:$G,I5026,'[1]2025年已发货'!$H:$H,J5026)=0,"未发货",SUMIFS('[1]2025年已发货'!$E:$E,'[1]2025年已发货'!$F:$F,C5026,'[1]2025年已发货'!$C:$C,F5026,'[1]2025年已发货'!$G:$G,I5026,'[1]2025年已发货'!$H:$H,J5026))</f>
        <v>10</v>
      </c>
      <c r="I5026" s="39" t="str">
        <f>VLOOKUP(B5026,辅助信息!E:I,3,FALSE)</f>
        <v>(五冶钢构龙泉东洪片区70亩住宅、商业及配套工程项目一标段)成都市龙泉驿外东洪路地铁2号线惠王陵地铁C口</v>
      </c>
      <c r="J5026" s="40" t="str">
        <f>VLOOKUP(B5026,辅助信息!E:I,4,FALSE)</f>
        <v>邹爱国</v>
      </c>
      <c r="K5026" s="40">
        <f>VLOOKUP(J5026,辅助信息!H:I,2,FALSE)</f>
        <v>13540231225</v>
      </c>
      <c r="L5026" s="109">
        <f>VLOOKUP(B5026,辅助信息!E:J,6,FALSE)</f>
        <v>0</v>
      </c>
      <c r="M5026" s="91">
        <v>45954</v>
      </c>
      <c r="O5026" s="62">
        <f ca="1" t="shared" si="238"/>
        <v>0</v>
      </c>
      <c r="P5026" s="62">
        <f ca="1" t="shared" si="239"/>
        <v>6</v>
      </c>
      <c r="Q5026" s="29" t="str">
        <f>VLOOKUP(B5026,辅助信息!E:M,9,FALSE)</f>
        <v>ZTWM-CDGS-XS-2025-0156-五冶钢构-2025年九月第一批次钢筋采购合同(三圣乡项目)-中铁物贸成都公司</v>
      </c>
      <c r="R5026" s="29" t="str">
        <f>_xlfn._xlws.FILTER(辅助信息!D:D,辅助信息!E:E=B5026)</f>
        <v>五冶钢构龙泉东洪片区(70亩、85亩)住宅、商业及配套工程项目</v>
      </c>
    </row>
    <row r="5027" hidden="1" spans="2:18">
      <c r="B5027" s="135" t="s">
        <v>224</v>
      </c>
      <c r="C5027" s="70">
        <v>45959</v>
      </c>
      <c r="D5027" s="40" t="str">
        <f>VLOOKUP(B5027,辅助信息!E:K,7,FALSE)</f>
        <v>JWDDCD2025092400188</v>
      </c>
      <c r="E5027" s="40" t="str">
        <f>VLOOKUP(F5027,辅助信息!A:B,2,FALSE)</f>
        <v>螺纹钢</v>
      </c>
      <c r="F5027" s="40" t="s">
        <v>18</v>
      </c>
      <c r="G5027" s="36">
        <v>10</v>
      </c>
      <c r="H5027" s="134">
        <f>IF(SUMIFS('[1]2025年已发货'!$E:$E,'[1]2025年已发货'!$F:$F,C5027,'[1]2025年已发货'!$C:$C,F5027,'[1]2025年已发货'!$G:$G,I5027,'[1]2025年已发货'!$H:$H,J5027)=0,"未发货",SUMIFS('[1]2025年已发货'!$E:$E,'[1]2025年已发货'!$F:$F,C5027,'[1]2025年已发货'!$C:$C,F5027,'[1]2025年已发货'!$G:$G,I5027,'[1]2025年已发货'!$H:$H,J5027))</f>
        <v>10</v>
      </c>
      <c r="I5027" s="39" t="str">
        <f>VLOOKUP(B5027,辅助信息!E:I,3,FALSE)</f>
        <v>(五冶钢构龙泉东洪片区70亩住宅、商业及配套工程项目一标段)成都市龙泉驿外东洪路地铁2号线惠王陵地铁C口</v>
      </c>
      <c r="J5027" s="40" t="str">
        <f>VLOOKUP(B5027,辅助信息!E:I,4,FALSE)</f>
        <v>邹爱国</v>
      </c>
      <c r="K5027" s="40">
        <f>VLOOKUP(J5027,辅助信息!H:I,2,FALSE)</f>
        <v>13540231225</v>
      </c>
      <c r="L5027" s="109">
        <f>VLOOKUP(B5027,辅助信息!E:J,6,FALSE)</f>
        <v>0</v>
      </c>
      <c r="M5027" s="91">
        <v>45954</v>
      </c>
      <c r="O5027" s="62">
        <f ca="1" t="shared" si="238"/>
        <v>0</v>
      </c>
      <c r="P5027" s="62">
        <f ca="1" t="shared" si="239"/>
        <v>6</v>
      </c>
      <c r="Q5027" s="29" t="str">
        <f>VLOOKUP(B5027,辅助信息!E:M,9,FALSE)</f>
        <v>ZTWM-CDGS-XS-2025-0156-五冶钢构-2025年九月第一批次钢筋采购合同(三圣乡项目)-中铁物贸成都公司</v>
      </c>
      <c r="R5027" s="29" t="str">
        <f>_xlfn._xlws.FILTER(辅助信息!D:D,辅助信息!E:E=B5027)</f>
        <v>五冶钢构龙泉东洪片区(70亩、85亩)住宅、商业及配套工程项目</v>
      </c>
    </row>
    <row r="5028" hidden="1" spans="1:18">
      <c r="A5028" s="71" t="s">
        <v>100</v>
      </c>
      <c r="B5028" s="135" t="s">
        <v>208</v>
      </c>
      <c r="C5028" s="70">
        <v>45957</v>
      </c>
      <c r="D5028" s="40" t="str">
        <f>VLOOKUP(B5028,辅助信息!E:K,7,FALSE)</f>
        <v>JWDDCD2025102100480</v>
      </c>
      <c r="E5028" s="40" t="str">
        <f>VLOOKUP(F5028,辅助信息!A:B,2,FALSE)</f>
        <v>高线</v>
      </c>
      <c r="F5028" s="40" t="s">
        <v>53</v>
      </c>
      <c r="G5028" s="36">
        <v>2.5</v>
      </c>
      <c r="H5028" s="134">
        <f>IF(SUMIFS('[1]2025年已发货'!$E:$E,'[1]2025年已发货'!$F:$F,C5028,'[1]2025年已发货'!$C:$C,F5028,'[1]2025年已发货'!$G:$G,I5028,'[1]2025年已发货'!$H:$H,J5028)=0,"未发货",SUMIFS('[1]2025年已发货'!$E:$E,'[1]2025年已发货'!$F:$F,C5028,'[1]2025年已发货'!$C:$C,F5028,'[1]2025年已发货'!$G:$G,I5028,'[1]2025年已发货'!$H:$H,J5028))</f>
        <v>2.5</v>
      </c>
      <c r="I5028" s="39" t="str">
        <f>VLOOKUP(B5028,辅助信息!E:I,3,FALSE)</f>
        <v>(五冶建设锦江区林家坝片区20号地块商业项目)锦江区泰昌路锦江28亩项目部</v>
      </c>
      <c r="J5028" s="40" t="str">
        <f>VLOOKUP(B5028,辅助信息!E:I,4,FALSE)</f>
        <v>陶杰</v>
      </c>
      <c r="K5028" s="40">
        <f>VLOOKUP(J5028,辅助信息!H:I,2,FALSE)</f>
        <v>13980247952</v>
      </c>
      <c r="L5028" s="109" t="str">
        <f>VLOOKUP(B5028,辅助信息!E:J,6,FALSE)</f>
        <v>联系实际收货人（陶杰13980247952）五冶建设送货单,6份材质书,锈货不收，装货前联系收货人核实到场规格,没提前告知进场规格现场不给予接收</v>
      </c>
      <c r="M5028" s="91">
        <v>45954</v>
      </c>
      <c r="O5028" s="62">
        <f ca="1" t="shared" ref="O5028:O5091" si="240">IF(OR(M5028="",N5028&lt;&gt;""),"",MAX(M5028-TODAY(),0))</f>
        <v>0</v>
      </c>
      <c r="P5028" s="62">
        <f ca="1" t="shared" ref="P5028:P5091" si="241">IF(M5028="","",IF(N5028&lt;&gt;"",MAX(N5028-M5028,0),IF(TODAY()&gt;M5028,TODAY()-M5028,0)))</f>
        <v>6</v>
      </c>
      <c r="Q5028" s="29" t="str">
        <f>VLOOKUP(B5028,辅助信息!E:M,9,FALSE)</f>
        <v>ZTWM-CDGS-XS-2025-0073-五冶天府-成都怡心湖片区及龙泉驿医院等项目</v>
      </c>
      <c r="R5028" s="29" t="str">
        <f>_xlfn._xlws.FILTER(辅助信息!D:D,辅助信息!E:E=B5028)</f>
        <v>五冶建设锦江区林家坝片区20号地块商业项目</v>
      </c>
    </row>
    <row r="5029" hidden="1" spans="1:18">
      <c r="A5029" s="71"/>
      <c r="B5029" s="135" t="s">
        <v>208</v>
      </c>
      <c r="C5029" s="70">
        <v>45957</v>
      </c>
      <c r="D5029" s="40" t="str">
        <f>VLOOKUP(B5029,辅助信息!E:K,7,FALSE)</f>
        <v>JWDDCD2025102100480</v>
      </c>
      <c r="E5029" s="40" t="str">
        <f>VLOOKUP(F5029,辅助信息!A:B,2,FALSE)</f>
        <v>盘螺</v>
      </c>
      <c r="F5029" s="40" t="s">
        <v>40</v>
      </c>
      <c r="G5029" s="36">
        <v>2.5</v>
      </c>
      <c r="H5029" s="134">
        <f>IF(SUMIFS('[1]2025年已发货'!$E:$E,'[1]2025年已发货'!$F:$F,C5029,'[1]2025年已发货'!$C:$C,F5029,'[1]2025年已发货'!$G:$G,I5029,'[1]2025年已发货'!$H:$H,J5029)=0,"未发货",SUMIFS('[1]2025年已发货'!$E:$E,'[1]2025年已发货'!$F:$F,C5029,'[1]2025年已发货'!$C:$C,F5029,'[1]2025年已发货'!$G:$G,I5029,'[1]2025年已发货'!$H:$H,J5029))</f>
        <v>2.5</v>
      </c>
      <c r="I5029" s="39" t="str">
        <f>VLOOKUP(B5029,辅助信息!E:I,3,FALSE)</f>
        <v>(五冶建设锦江区林家坝片区20号地块商业项目)锦江区泰昌路锦江28亩项目部</v>
      </c>
      <c r="J5029" s="40" t="str">
        <f>VLOOKUP(B5029,辅助信息!E:I,4,FALSE)</f>
        <v>陶杰</v>
      </c>
      <c r="K5029" s="40">
        <f>VLOOKUP(J5029,辅助信息!H:I,2,FALSE)</f>
        <v>13980247952</v>
      </c>
      <c r="L5029" s="109" t="str">
        <f>VLOOKUP(B5029,辅助信息!E:J,6,FALSE)</f>
        <v>联系实际收货人（陶杰13980247952）五冶建设送货单,6份材质书,锈货不收，装货前联系收货人核实到场规格,没提前告知进场规格现场不给予接收</v>
      </c>
      <c r="M5029" s="91">
        <v>45954</v>
      </c>
      <c r="O5029" s="62">
        <f ca="1" t="shared" si="240"/>
        <v>0</v>
      </c>
      <c r="P5029" s="62">
        <f ca="1" t="shared" si="241"/>
        <v>6</v>
      </c>
      <c r="Q5029" s="29" t="str">
        <f>VLOOKUP(B5029,辅助信息!E:M,9,FALSE)</f>
        <v>ZTWM-CDGS-XS-2025-0073-五冶天府-成都怡心湖片区及龙泉驿医院等项目</v>
      </c>
      <c r="R5029" s="29" t="str">
        <f>_xlfn._xlws.FILTER(辅助信息!D:D,辅助信息!E:E=B5029)</f>
        <v>五冶建设锦江区林家坝片区20号地块商业项目</v>
      </c>
    </row>
    <row r="5030" hidden="1" spans="1:18">
      <c r="A5030" s="71"/>
      <c r="B5030" s="135" t="s">
        <v>208</v>
      </c>
      <c r="C5030" s="70">
        <v>45957</v>
      </c>
      <c r="D5030" s="40" t="str">
        <f>VLOOKUP(B5030,辅助信息!E:K,7,FALSE)</f>
        <v>JWDDCD2025102100480</v>
      </c>
      <c r="E5030" s="40" t="str">
        <f>VLOOKUP(F5030,辅助信息!A:B,2,FALSE)</f>
        <v>盘螺</v>
      </c>
      <c r="F5030" s="40" t="s">
        <v>41</v>
      </c>
      <c r="G5030" s="36">
        <v>2.5</v>
      </c>
      <c r="H5030" s="134">
        <f>IF(SUMIFS('[1]2025年已发货'!$E:$E,'[1]2025年已发货'!$F:$F,C5030,'[1]2025年已发货'!$C:$C,F5030,'[1]2025年已发货'!$G:$G,I5030,'[1]2025年已发货'!$H:$H,J5030)=0,"未发货",SUMIFS('[1]2025年已发货'!$E:$E,'[1]2025年已发货'!$F:$F,C5030,'[1]2025年已发货'!$C:$C,F5030,'[1]2025年已发货'!$G:$G,I5030,'[1]2025年已发货'!$H:$H,J5030))</f>
        <v>2.5</v>
      </c>
      <c r="I5030" s="39" t="str">
        <f>VLOOKUP(B5030,辅助信息!E:I,3,FALSE)</f>
        <v>(五冶建设锦江区林家坝片区20号地块商业项目)锦江区泰昌路锦江28亩项目部</v>
      </c>
      <c r="J5030" s="40" t="str">
        <f>VLOOKUP(B5030,辅助信息!E:I,4,FALSE)</f>
        <v>陶杰</v>
      </c>
      <c r="K5030" s="40">
        <f>VLOOKUP(J5030,辅助信息!H:I,2,FALSE)</f>
        <v>13980247952</v>
      </c>
      <c r="L5030" s="109" t="str">
        <f>VLOOKUP(B5030,辅助信息!E:J,6,FALSE)</f>
        <v>联系实际收货人（陶杰13980247952）五冶建设送货单,6份材质书,锈货不收，装货前联系收货人核实到场规格,没提前告知进场规格现场不给予接收</v>
      </c>
      <c r="M5030" s="91">
        <v>45954</v>
      </c>
      <c r="O5030" s="62">
        <f ca="1" t="shared" si="240"/>
        <v>0</v>
      </c>
      <c r="P5030" s="62">
        <f ca="1" t="shared" si="241"/>
        <v>6</v>
      </c>
      <c r="Q5030" s="29" t="str">
        <f>VLOOKUP(B5030,辅助信息!E:M,9,FALSE)</f>
        <v>ZTWM-CDGS-XS-2025-0073-五冶天府-成都怡心湖片区及龙泉驿医院等项目</v>
      </c>
      <c r="R5030" s="29" t="str">
        <f>_xlfn._xlws.FILTER(辅助信息!D:D,辅助信息!E:E=B5030)</f>
        <v>五冶建设锦江区林家坝片区20号地块商业项目</v>
      </c>
    </row>
    <row r="5031" hidden="1" spans="1:18">
      <c r="A5031" s="71"/>
      <c r="B5031" s="135" t="s">
        <v>208</v>
      </c>
      <c r="C5031" s="70">
        <v>45957</v>
      </c>
      <c r="D5031" s="40" t="str">
        <f>VLOOKUP(B5031,辅助信息!E:K,7,FALSE)</f>
        <v>JWDDCD2025102100480</v>
      </c>
      <c r="E5031" s="40" t="str">
        <f>VLOOKUP(F5031,辅助信息!A:B,2,FALSE)</f>
        <v>螺纹钢</v>
      </c>
      <c r="F5031" s="40" t="s">
        <v>27</v>
      </c>
      <c r="G5031" s="36">
        <v>2.5</v>
      </c>
      <c r="H5031" s="134">
        <f>IF(SUMIFS('[1]2025年已发货'!$E:$E,'[1]2025年已发货'!$F:$F,C5031,'[1]2025年已发货'!$C:$C,F5031,'[1]2025年已发货'!$G:$G,I5031,'[1]2025年已发货'!$H:$H,J5031)=0,"未发货",SUMIFS('[1]2025年已发货'!$E:$E,'[1]2025年已发货'!$F:$F,C5031,'[1]2025年已发货'!$C:$C,F5031,'[1]2025年已发货'!$G:$G,I5031,'[1]2025年已发货'!$H:$H,J5031))</f>
        <v>2.5</v>
      </c>
      <c r="I5031" s="39" t="str">
        <f>VLOOKUP(B5031,辅助信息!E:I,3,FALSE)</f>
        <v>(五冶建设锦江区林家坝片区20号地块商业项目)锦江区泰昌路锦江28亩项目部</v>
      </c>
      <c r="J5031" s="40" t="str">
        <f>VLOOKUP(B5031,辅助信息!E:I,4,FALSE)</f>
        <v>陶杰</v>
      </c>
      <c r="K5031" s="40">
        <f>VLOOKUP(J5031,辅助信息!H:I,2,FALSE)</f>
        <v>13980247952</v>
      </c>
      <c r="L5031" s="109" t="str">
        <f>VLOOKUP(B5031,辅助信息!E:J,6,FALSE)</f>
        <v>联系实际收货人（陶杰13980247952）五冶建设送货单,6份材质书,锈货不收，装货前联系收货人核实到场规格,没提前告知进场规格现场不给予接收</v>
      </c>
      <c r="M5031" s="91">
        <v>45954</v>
      </c>
      <c r="O5031" s="62">
        <f ca="1" t="shared" si="240"/>
        <v>0</v>
      </c>
      <c r="P5031" s="62">
        <f ca="1" t="shared" si="241"/>
        <v>6</v>
      </c>
      <c r="Q5031" s="29" t="str">
        <f>VLOOKUP(B5031,辅助信息!E:M,9,FALSE)</f>
        <v>ZTWM-CDGS-XS-2025-0073-五冶天府-成都怡心湖片区及龙泉驿医院等项目</v>
      </c>
      <c r="R5031" s="29" t="str">
        <f>_xlfn._xlws.FILTER(辅助信息!D:D,辅助信息!E:E=B5031)</f>
        <v>五冶建设锦江区林家坝片区20号地块商业项目</v>
      </c>
    </row>
    <row r="5032" hidden="1" spans="1:18">
      <c r="A5032" s="71"/>
      <c r="B5032" s="135" t="s">
        <v>208</v>
      </c>
      <c r="C5032" s="70">
        <v>45957</v>
      </c>
      <c r="D5032" s="40" t="str">
        <f>VLOOKUP(B5032,辅助信息!E:K,7,FALSE)</f>
        <v>JWDDCD2025102100480</v>
      </c>
      <c r="E5032" s="40" t="str">
        <f>VLOOKUP(F5032,辅助信息!A:B,2,FALSE)</f>
        <v>螺纹钢</v>
      </c>
      <c r="F5032" s="40" t="s">
        <v>19</v>
      </c>
      <c r="G5032" s="36">
        <v>10</v>
      </c>
      <c r="H5032" s="134">
        <f>IF(SUMIFS('[1]2025年已发货'!$E:$E,'[1]2025年已发货'!$F:$F,C5032,'[1]2025年已发货'!$C:$C,F5032,'[1]2025年已发货'!$G:$G,I5032,'[1]2025年已发货'!$H:$H,J5032)=0,"未发货",SUMIFS('[1]2025年已发货'!$E:$E,'[1]2025年已发货'!$F:$F,C5032,'[1]2025年已发货'!$C:$C,F5032,'[1]2025年已发货'!$G:$G,I5032,'[1]2025年已发货'!$H:$H,J5032))</f>
        <v>10</v>
      </c>
      <c r="I5032" s="39" t="str">
        <f>VLOOKUP(B5032,辅助信息!E:I,3,FALSE)</f>
        <v>(五冶建设锦江区林家坝片区20号地块商业项目)锦江区泰昌路锦江28亩项目部</v>
      </c>
      <c r="J5032" s="40" t="str">
        <f>VLOOKUP(B5032,辅助信息!E:I,4,FALSE)</f>
        <v>陶杰</v>
      </c>
      <c r="K5032" s="40">
        <f>VLOOKUP(J5032,辅助信息!H:I,2,FALSE)</f>
        <v>13980247952</v>
      </c>
      <c r="L5032" s="109" t="str">
        <f>VLOOKUP(B5032,辅助信息!E:J,6,FALSE)</f>
        <v>联系实际收货人（陶杰13980247952）五冶建设送货单,6份材质书,锈货不收，装货前联系收货人核实到场规格,没提前告知进场规格现场不给予接收</v>
      </c>
      <c r="M5032" s="91">
        <v>45954</v>
      </c>
      <c r="O5032" s="62">
        <f ca="1" t="shared" si="240"/>
        <v>0</v>
      </c>
      <c r="P5032" s="62">
        <f ca="1" t="shared" si="241"/>
        <v>6</v>
      </c>
      <c r="Q5032" s="29" t="str">
        <f>VLOOKUP(B5032,辅助信息!E:M,9,FALSE)</f>
        <v>ZTWM-CDGS-XS-2025-0073-五冶天府-成都怡心湖片区及龙泉驿医院等项目</v>
      </c>
      <c r="R5032" s="29" t="str">
        <f>_xlfn._xlws.FILTER(辅助信息!D:D,辅助信息!E:E=B5032)</f>
        <v>五冶建设锦江区林家坝片区20号地块商业项目</v>
      </c>
    </row>
    <row r="5033" hidden="1" spans="1:18">
      <c r="A5033" s="71"/>
      <c r="B5033" s="135" t="s">
        <v>208</v>
      </c>
      <c r="C5033" s="70">
        <v>45957</v>
      </c>
      <c r="D5033" s="40" t="str">
        <f>VLOOKUP(B5033,辅助信息!E:K,7,FALSE)</f>
        <v>JWDDCD2025102100480</v>
      </c>
      <c r="E5033" s="40" t="str">
        <f>VLOOKUP(F5033,辅助信息!A:B,2,FALSE)</f>
        <v>螺纹钢</v>
      </c>
      <c r="F5033" s="40" t="s">
        <v>32</v>
      </c>
      <c r="G5033" s="36">
        <v>5</v>
      </c>
      <c r="H5033" s="134">
        <f>IF(SUMIFS('[1]2025年已发货'!$E:$E,'[1]2025年已发货'!$F:$F,C5033,'[1]2025年已发货'!$C:$C,F5033,'[1]2025年已发货'!$G:$G,I5033,'[1]2025年已发货'!$H:$H,J5033)=0,"未发货",SUMIFS('[1]2025年已发货'!$E:$E,'[1]2025年已发货'!$F:$F,C5033,'[1]2025年已发货'!$C:$C,F5033,'[1]2025年已发货'!$G:$G,I5033,'[1]2025年已发货'!$H:$H,J5033))</f>
        <v>5</v>
      </c>
      <c r="I5033" s="39" t="str">
        <f>VLOOKUP(B5033,辅助信息!E:I,3,FALSE)</f>
        <v>(五冶建设锦江区林家坝片区20号地块商业项目)锦江区泰昌路锦江28亩项目部</v>
      </c>
      <c r="J5033" s="40" t="str">
        <f>VLOOKUP(B5033,辅助信息!E:I,4,FALSE)</f>
        <v>陶杰</v>
      </c>
      <c r="K5033" s="40">
        <f>VLOOKUP(J5033,辅助信息!H:I,2,FALSE)</f>
        <v>13980247952</v>
      </c>
      <c r="L5033" s="109" t="str">
        <f>VLOOKUP(B5033,辅助信息!E:J,6,FALSE)</f>
        <v>联系实际收货人（陶杰13980247952）五冶建设送货单,6份材质书,锈货不收，装货前联系收货人核实到场规格,没提前告知进场规格现场不给予接收</v>
      </c>
      <c r="M5033" s="91">
        <v>45954</v>
      </c>
      <c r="O5033" s="62">
        <f ca="1" t="shared" si="240"/>
        <v>0</v>
      </c>
      <c r="P5033" s="62">
        <f ca="1" t="shared" si="241"/>
        <v>6</v>
      </c>
      <c r="Q5033" s="29" t="str">
        <f>VLOOKUP(B5033,辅助信息!E:M,9,FALSE)</f>
        <v>ZTWM-CDGS-XS-2025-0073-五冶天府-成都怡心湖片区及龙泉驿医院等项目</v>
      </c>
      <c r="R5033" s="29" t="str">
        <f>_xlfn._xlws.FILTER(辅助信息!D:D,辅助信息!E:E=B5033)</f>
        <v>五冶建设锦江区林家坝片区20号地块商业项目</v>
      </c>
    </row>
    <row r="5034" hidden="1" spans="1:18">
      <c r="A5034" s="71"/>
      <c r="B5034" s="135" t="s">
        <v>208</v>
      </c>
      <c r="C5034" s="70">
        <v>45957</v>
      </c>
      <c r="D5034" s="40" t="str">
        <f>VLOOKUP(B5034,辅助信息!E:K,7,FALSE)</f>
        <v>JWDDCD2025102100480</v>
      </c>
      <c r="E5034" s="40" t="str">
        <f>VLOOKUP(F5034,辅助信息!A:B,2,FALSE)</f>
        <v>螺纹钢</v>
      </c>
      <c r="F5034" s="40" t="s">
        <v>28</v>
      </c>
      <c r="G5034" s="36">
        <v>2.5</v>
      </c>
      <c r="H5034" s="134">
        <f>IF(SUMIFS('[1]2025年已发货'!$E:$E,'[1]2025年已发货'!$F:$F,C5034,'[1]2025年已发货'!$C:$C,F5034,'[1]2025年已发货'!$G:$G,I5034,'[1]2025年已发货'!$H:$H,J5034)=0,"未发货",SUMIFS('[1]2025年已发货'!$E:$E,'[1]2025年已发货'!$F:$F,C5034,'[1]2025年已发货'!$C:$C,F5034,'[1]2025年已发货'!$G:$G,I5034,'[1]2025年已发货'!$H:$H,J5034))</f>
        <v>2.5</v>
      </c>
      <c r="I5034" s="39" t="str">
        <f>VLOOKUP(B5034,辅助信息!E:I,3,FALSE)</f>
        <v>(五冶建设锦江区林家坝片区20号地块商业项目)锦江区泰昌路锦江28亩项目部</v>
      </c>
      <c r="J5034" s="40" t="str">
        <f>VLOOKUP(B5034,辅助信息!E:I,4,FALSE)</f>
        <v>陶杰</v>
      </c>
      <c r="K5034" s="40">
        <f>VLOOKUP(J5034,辅助信息!H:I,2,FALSE)</f>
        <v>13980247952</v>
      </c>
      <c r="L5034" s="109" t="str">
        <f>VLOOKUP(B5034,辅助信息!E:J,6,FALSE)</f>
        <v>联系实际收货人（陶杰13980247952）五冶建设送货单,6份材质书,锈货不收，装货前联系收货人核实到场规格,没提前告知进场规格现场不给予接收</v>
      </c>
      <c r="M5034" s="91">
        <v>45954</v>
      </c>
      <c r="O5034" s="62">
        <f ca="1" t="shared" si="240"/>
        <v>0</v>
      </c>
      <c r="P5034" s="62">
        <f ca="1" t="shared" si="241"/>
        <v>6</v>
      </c>
      <c r="Q5034" s="29" t="str">
        <f>VLOOKUP(B5034,辅助信息!E:M,9,FALSE)</f>
        <v>ZTWM-CDGS-XS-2025-0073-五冶天府-成都怡心湖片区及龙泉驿医院等项目</v>
      </c>
      <c r="R5034" s="29" t="str">
        <f>_xlfn._xlws.FILTER(辅助信息!D:D,辅助信息!E:E=B5034)</f>
        <v>五冶建设锦江区林家坝片区20号地块商业项目</v>
      </c>
    </row>
    <row r="5035" hidden="1" spans="1:18">
      <c r="A5035" s="71"/>
      <c r="B5035" s="135" t="s">
        <v>208</v>
      </c>
      <c r="C5035" s="70">
        <v>45957</v>
      </c>
      <c r="D5035" s="40" t="str">
        <f>VLOOKUP(B5035,辅助信息!E:K,7,FALSE)</f>
        <v>JWDDCD2025102100480</v>
      </c>
      <c r="E5035" s="40" t="str">
        <f>VLOOKUP(F5035,辅助信息!A:B,2,FALSE)</f>
        <v>螺纹钢</v>
      </c>
      <c r="F5035" s="40" t="s">
        <v>18</v>
      </c>
      <c r="G5035" s="36">
        <f>80-2.5</f>
        <v>77.5</v>
      </c>
      <c r="H5035" s="134">
        <f>IF(SUMIFS('[1]2025年已发货'!$E:$E,'[1]2025年已发货'!$F:$F,C5035,'[1]2025年已发货'!$C:$C,F5035,'[1]2025年已发货'!$G:$G,I5035,'[1]2025年已发货'!$H:$H,J5035)=0,"未发货",SUMIFS('[1]2025年已发货'!$E:$E,'[1]2025年已发货'!$F:$F,C5035,'[1]2025年已发货'!$C:$C,F5035,'[1]2025年已发货'!$G:$G,I5035,'[1]2025年已发货'!$H:$H,J5035))</f>
        <v>78</v>
      </c>
      <c r="I5035" s="39" t="str">
        <f>VLOOKUP(B5035,辅助信息!E:I,3,FALSE)</f>
        <v>(五冶建设锦江区林家坝片区20号地块商业项目)锦江区泰昌路锦江28亩项目部</v>
      </c>
      <c r="J5035" s="40" t="str">
        <f>VLOOKUP(B5035,辅助信息!E:I,4,FALSE)</f>
        <v>陶杰</v>
      </c>
      <c r="K5035" s="40">
        <f>VLOOKUP(J5035,辅助信息!H:I,2,FALSE)</f>
        <v>13980247952</v>
      </c>
      <c r="L5035" s="109" t="str">
        <f>VLOOKUP(B5035,辅助信息!E:J,6,FALSE)</f>
        <v>联系实际收货人（陶杰13980247952）五冶建设送货单,6份材质书,锈货不收，装货前联系收货人核实到场规格,没提前告知进场规格现场不给予接收</v>
      </c>
      <c r="M5035" s="91">
        <v>45954</v>
      </c>
      <c r="O5035" s="62">
        <f ca="1" t="shared" si="240"/>
        <v>0</v>
      </c>
      <c r="P5035" s="62">
        <f ca="1" t="shared" si="241"/>
        <v>6</v>
      </c>
      <c r="Q5035" s="29" t="str">
        <f>VLOOKUP(B5035,辅助信息!E:M,9,FALSE)</f>
        <v>ZTWM-CDGS-XS-2025-0073-五冶天府-成都怡心湖片区及龙泉驿医院等项目</v>
      </c>
      <c r="R5035" s="29" t="str">
        <f>_xlfn._xlws.FILTER(辅助信息!D:D,辅助信息!E:E=B5035)</f>
        <v>五冶建设锦江区林家坝片区20号地块商业项目</v>
      </c>
    </row>
    <row r="5036" hidden="1" spans="2:18">
      <c r="B5036" s="135" t="s">
        <v>231</v>
      </c>
      <c r="C5036" s="70">
        <v>45957</v>
      </c>
      <c r="D5036" s="40" t="str">
        <f>VLOOKUP(B5036,辅助信息!E:K,7,FALSE)</f>
        <v>JWDDCD2025102100481</v>
      </c>
      <c r="E5036" s="40" t="str">
        <f>VLOOKUP(F5036,辅助信息!A:B,2,FALSE)</f>
        <v>盘螺</v>
      </c>
      <c r="F5036" s="40" t="s">
        <v>40</v>
      </c>
      <c r="G5036" s="36">
        <v>4</v>
      </c>
      <c r="H5036" s="134">
        <f>IF(SUMIFS('[1]2025年已发货'!$E:$E,'[1]2025年已发货'!$F:$F,C5036,'[1]2025年已发货'!$C:$C,F5036,'[1]2025年已发货'!$G:$G,I5036,'[1]2025年已发货'!$H:$H,J5036)=0,"未发货",SUMIFS('[1]2025年已发货'!$E:$E,'[1]2025年已发货'!$F:$F,C5036,'[1]2025年已发货'!$C:$C,F5036,'[1]2025年已发货'!$G:$G,I5036,'[1]2025年已发货'!$H:$H,J5036))</f>
        <v>4</v>
      </c>
      <c r="I5036" s="39" t="str">
        <f>VLOOKUP(B5036,辅助信息!E:I,3,FALSE)</f>
        <v>(五冶建设成都盐道街中学初中部改扩建工程-一标)四川省成都市锦江区春熙路街道盐道街4号（盐道街中学初中部）</v>
      </c>
      <c r="J5036" s="40" t="str">
        <f>VLOOKUP(B5036,辅助信息!E:I,4,FALSE)</f>
        <v>谢鑫</v>
      </c>
      <c r="K5036" s="40">
        <f>VLOOKUP(J5036,辅助信息!H:I,2,FALSE)</f>
        <v>18228465067</v>
      </c>
      <c r="L5036" s="109" t="str">
        <f>VLOOKUP(B5036,辅助信息!E:J,6,FALSE)</f>
        <v>联系实际收货人（易前刚18228465067）五冶建设送货单,6份材质书,锈货不收，装货前联系收货人核实到场规格,没提前告知进场规格现场不给予接收</v>
      </c>
      <c r="M5036" s="91">
        <v>45956</v>
      </c>
      <c r="O5036" s="62">
        <f ca="1" t="shared" si="240"/>
        <v>0</v>
      </c>
      <c r="P5036" s="62">
        <f ca="1" t="shared" si="241"/>
        <v>4</v>
      </c>
      <c r="Q5036" s="29" t="str">
        <f>VLOOKUP(B5036,辅助信息!E:M,9,FALSE)</f>
        <v>ZTWM-CDGS-XS-2025-0073-五冶天府-成都怡心湖片区及龙泉驿医院等项目</v>
      </c>
      <c r="R5036" s="29" t="str">
        <f>_xlfn._xlws.FILTER(辅助信息!D:D,辅助信息!E:E=B5036)</f>
        <v>五冶建设成都盐道街中学初中部改扩建工程</v>
      </c>
    </row>
    <row r="5037" hidden="1" spans="2:18">
      <c r="B5037" s="135" t="s">
        <v>231</v>
      </c>
      <c r="C5037" s="70">
        <v>45957</v>
      </c>
      <c r="D5037" s="40" t="str">
        <f>VLOOKUP(B5037,辅助信息!E:K,7,FALSE)</f>
        <v>JWDDCD2025102100481</v>
      </c>
      <c r="E5037" s="40" t="str">
        <f>VLOOKUP(F5037,辅助信息!A:B,2,FALSE)</f>
        <v>盘螺</v>
      </c>
      <c r="F5037" s="40" t="s">
        <v>41</v>
      </c>
      <c r="G5037" s="36">
        <v>4</v>
      </c>
      <c r="H5037" s="134">
        <f>IF(SUMIFS('[1]2025年已发货'!$E:$E,'[1]2025年已发货'!$F:$F,C5037,'[1]2025年已发货'!$C:$C,F5037,'[1]2025年已发货'!$G:$G,I5037,'[1]2025年已发货'!$H:$H,J5037)=0,"未发货",SUMIFS('[1]2025年已发货'!$E:$E,'[1]2025年已发货'!$F:$F,C5037,'[1]2025年已发货'!$C:$C,F5037,'[1]2025年已发货'!$G:$G,I5037,'[1]2025年已发货'!$H:$H,J5037))</f>
        <v>4</v>
      </c>
      <c r="I5037" s="39" t="str">
        <f>VLOOKUP(B5037,辅助信息!E:I,3,FALSE)</f>
        <v>(五冶建设成都盐道街中学初中部改扩建工程-一标)四川省成都市锦江区春熙路街道盐道街4号（盐道街中学初中部）</v>
      </c>
      <c r="J5037" s="40" t="str">
        <f>VLOOKUP(B5037,辅助信息!E:I,4,FALSE)</f>
        <v>谢鑫</v>
      </c>
      <c r="K5037" s="40">
        <f>VLOOKUP(J5037,辅助信息!H:I,2,FALSE)</f>
        <v>18228465067</v>
      </c>
      <c r="L5037" s="109" t="str">
        <f>VLOOKUP(B5037,辅助信息!E:J,6,FALSE)</f>
        <v>联系实际收货人（易前刚18228465067）五冶建设送货单,6份材质书,锈货不收，装货前联系收货人核实到场规格,没提前告知进场规格现场不给予接收</v>
      </c>
      <c r="M5037" s="91">
        <v>45956</v>
      </c>
      <c r="O5037" s="62">
        <f ca="1" t="shared" si="240"/>
        <v>0</v>
      </c>
      <c r="P5037" s="62">
        <f ca="1" t="shared" si="241"/>
        <v>4</v>
      </c>
      <c r="Q5037" s="29" t="str">
        <f>VLOOKUP(B5037,辅助信息!E:M,9,FALSE)</f>
        <v>ZTWM-CDGS-XS-2025-0073-五冶天府-成都怡心湖片区及龙泉驿医院等项目</v>
      </c>
      <c r="R5037" s="29" t="str">
        <f>_xlfn._xlws.FILTER(辅助信息!D:D,辅助信息!E:E=B5037)</f>
        <v>五冶建设成都盐道街中学初中部改扩建工程</v>
      </c>
    </row>
    <row r="5038" hidden="1" spans="2:18">
      <c r="B5038" s="135" t="s">
        <v>231</v>
      </c>
      <c r="C5038" s="70">
        <v>45957</v>
      </c>
      <c r="D5038" s="40" t="str">
        <f>VLOOKUP(B5038,辅助信息!E:K,7,FALSE)</f>
        <v>JWDDCD2025102100481</v>
      </c>
      <c r="E5038" s="40" t="str">
        <f>VLOOKUP(F5038,辅助信息!A:B,2,FALSE)</f>
        <v>盘螺</v>
      </c>
      <c r="F5038" s="40" t="s">
        <v>26</v>
      </c>
      <c r="G5038" s="36">
        <v>16</v>
      </c>
      <c r="H5038" s="134">
        <f>IF(SUMIFS('[1]2025年已发货'!$E:$E,'[1]2025年已发货'!$F:$F,C5038,'[1]2025年已发货'!$C:$C,F5038,'[1]2025年已发货'!$G:$G,I5038,'[1]2025年已发货'!$H:$H,J5038)=0,"未发货",SUMIFS('[1]2025年已发货'!$E:$E,'[1]2025年已发货'!$F:$F,C5038,'[1]2025年已发货'!$C:$C,F5038,'[1]2025年已发货'!$G:$G,I5038,'[1]2025年已发货'!$H:$H,J5038))</f>
        <v>16</v>
      </c>
      <c r="I5038" s="39" t="str">
        <f>VLOOKUP(B5038,辅助信息!E:I,3,FALSE)</f>
        <v>(五冶建设成都盐道街中学初中部改扩建工程-一标)四川省成都市锦江区春熙路街道盐道街4号（盐道街中学初中部）</v>
      </c>
      <c r="J5038" s="40" t="str">
        <f>VLOOKUP(B5038,辅助信息!E:I,4,FALSE)</f>
        <v>谢鑫</v>
      </c>
      <c r="K5038" s="40">
        <f>VLOOKUP(J5038,辅助信息!H:I,2,FALSE)</f>
        <v>18228465067</v>
      </c>
      <c r="L5038" s="109" t="str">
        <f>VLOOKUP(B5038,辅助信息!E:J,6,FALSE)</f>
        <v>联系实际收货人（易前刚18228465067）五冶建设送货单,6份材质书,锈货不收，装货前联系收货人核实到场规格,没提前告知进场规格现场不给予接收</v>
      </c>
      <c r="M5038" s="91">
        <v>45956</v>
      </c>
      <c r="O5038" s="62">
        <f ca="1" t="shared" si="240"/>
        <v>0</v>
      </c>
      <c r="P5038" s="62">
        <f ca="1" t="shared" si="241"/>
        <v>4</v>
      </c>
      <c r="Q5038" s="29" t="str">
        <f>VLOOKUP(B5038,辅助信息!E:M,9,FALSE)</f>
        <v>ZTWM-CDGS-XS-2025-0073-五冶天府-成都怡心湖片区及龙泉驿医院等项目</v>
      </c>
      <c r="R5038" s="29" t="str">
        <f>_xlfn._xlws.FILTER(辅助信息!D:D,辅助信息!E:E=B5038)</f>
        <v>五冶建设成都盐道街中学初中部改扩建工程</v>
      </c>
    </row>
    <row r="5039" hidden="1" spans="2:18">
      <c r="B5039" s="135" t="s">
        <v>231</v>
      </c>
      <c r="C5039" s="70">
        <v>45957</v>
      </c>
      <c r="D5039" s="40" t="str">
        <f>VLOOKUP(B5039,辅助信息!E:K,7,FALSE)</f>
        <v>JWDDCD2025102100481</v>
      </c>
      <c r="E5039" s="40" t="str">
        <f>VLOOKUP(F5039,辅助信息!A:B,2,FALSE)</f>
        <v>螺纹钢</v>
      </c>
      <c r="F5039" s="40" t="s">
        <v>18</v>
      </c>
      <c r="G5039" s="36">
        <v>5</v>
      </c>
      <c r="H5039" s="134">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(五冶建设成都盐道街中学初中部改扩建工程-一标)四川省成都市锦江区春熙路街道盐道街4号（盐道街中学初中部）</v>
      </c>
      <c r="J5039" s="40" t="str">
        <f>VLOOKUP(B5039,辅助信息!E:I,4,FALSE)</f>
        <v>谢鑫</v>
      </c>
      <c r="K5039" s="40">
        <f>VLOOKUP(J5039,辅助信息!H:I,2,FALSE)</f>
        <v>18228465067</v>
      </c>
      <c r="L5039" s="109" t="str">
        <f>VLOOKUP(B5039,辅助信息!E:J,6,FALSE)</f>
        <v>联系实际收货人（易前刚18228465067）五冶建设送货单,6份材质书,锈货不收，装货前联系收货人核实到场规格,没提前告知进场规格现场不给予接收</v>
      </c>
      <c r="M5039" s="91">
        <v>45956</v>
      </c>
      <c r="O5039" s="62">
        <f ca="1" t="shared" si="240"/>
        <v>0</v>
      </c>
      <c r="P5039" s="62">
        <f ca="1" t="shared" si="241"/>
        <v>4</v>
      </c>
      <c r="Q5039" s="29" t="str">
        <f>VLOOKUP(B5039,辅助信息!E:M,9,FALSE)</f>
        <v>ZTWM-CDGS-XS-2025-0073-五冶天府-成都怡心湖片区及龙泉驿医院等项目</v>
      </c>
      <c r="R5039" s="29" t="str">
        <f>_xlfn._xlws.FILTER(辅助信息!D:D,辅助信息!E:E=B5039)</f>
        <v>五冶建设成都盐道街中学初中部改扩建工程</v>
      </c>
    </row>
    <row r="5040" hidden="1" spans="2:18">
      <c r="B5040" s="135" t="s">
        <v>231</v>
      </c>
      <c r="C5040" s="70">
        <v>45957</v>
      </c>
      <c r="D5040" s="40" t="str">
        <f>VLOOKUP(B5040,辅助信息!E:K,7,FALSE)</f>
        <v>JWDDCD2025102100481</v>
      </c>
      <c r="E5040" s="40" t="str">
        <f>VLOOKUP(F5040,辅助信息!A:B,2,FALSE)</f>
        <v>螺纹钢</v>
      </c>
      <c r="F5040" s="40" t="s">
        <v>65</v>
      </c>
      <c r="G5040" s="36">
        <v>6</v>
      </c>
      <c r="H5040" s="134">
        <f>IF(SUMIFS('[1]2025年已发货'!$E:$E,'[1]2025年已发货'!$F:$F,C5040,'[1]2025年已发货'!$C:$C,F5040,'[1]2025年已发货'!$G:$G,I5040,'[1]2025年已发货'!$H:$H,J5040)=0,"未发货",SUMIFS('[1]2025年已发货'!$E:$E,'[1]2025年已发货'!$F:$F,C5040,'[1]2025年已发货'!$C:$C,F5040,'[1]2025年已发货'!$G:$G,I5040,'[1]2025年已发货'!$H:$H,J5040))</f>
        <v>6</v>
      </c>
      <c r="I5040" s="39" t="str">
        <f>VLOOKUP(B5040,辅助信息!E:I,3,FALSE)</f>
        <v>(五冶建设成都盐道街中学初中部改扩建工程-一标)四川省成都市锦江区春熙路街道盐道街4号（盐道街中学初中部）</v>
      </c>
      <c r="J5040" s="40" t="str">
        <f>VLOOKUP(B5040,辅助信息!E:I,4,FALSE)</f>
        <v>谢鑫</v>
      </c>
      <c r="K5040" s="40">
        <f>VLOOKUP(J5040,辅助信息!H:I,2,FALSE)</f>
        <v>18228465067</v>
      </c>
      <c r="L5040" s="109" t="str">
        <f>VLOOKUP(B5040,辅助信息!E:J,6,FALSE)</f>
        <v>联系实际收货人（易前刚18228465067）五冶建设送货单,6份材质书,锈货不收，装货前联系收货人核实到场规格,没提前告知进场规格现场不给予接收</v>
      </c>
      <c r="M5040" s="91">
        <v>45956</v>
      </c>
      <c r="O5040" s="62">
        <f ca="1" t="shared" si="240"/>
        <v>0</v>
      </c>
      <c r="P5040" s="62">
        <f ca="1" t="shared" si="241"/>
        <v>4</v>
      </c>
      <c r="Q5040" s="29" t="str">
        <f>VLOOKUP(B5040,辅助信息!E:M,9,FALSE)</f>
        <v>ZTWM-CDGS-XS-2025-0073-五冶天府-成都怡心湖片区及龙泉驿医院等项目</v>
      </c>
      <c r="R5040" s="29" t="str">
        <f>_xlfn._xlws.FILTER(辅助信息!D:D,辅助信息!E:E=B5040)</f>
        <v>五冶建设成都盐道街中学初中部改扩建工程</v>
      </c>
    </row>
    <row r="5041" hidden="1" spans="2:18">
      <c r="B5041" s="135" t="s">
        <v>167</v>
      </c>
      <c r="C5041" s="70">
        <v>45957</v>
      </c>
      <c r="D5041" s="40" t="str">
        <f>VLOOKUP(B5041,辅助信息!E:K,7,FALSE)</f>
        <v>JWDDCD2025102100473</v>
      </c>
      <c r="E5041" s="40" t="str">
        <f>VLOOKUP(F5041,辅助信息!A:B,2,FALSE)</f>
        <v>盘螺</v>
      </c>
      <c r="F5041" s="40" t="s">
        <v>49</v>
      </c>
      <c r="G5041" s="36">
        <v>4</v>
      </c>
      <c r="H5041" s="134">
        <v>4</v>
      </c>
      <c r="I5041" s="39" t="str">
        <f>VLOOKUP(B5041,辅助信息!E:I,3,FALSE)</f>
        <v>(五冶建设扩建艺体中学二期工程)四川省成都市双流区光荣路成都艺体中学南200米</v>
      </c>
      <c r="J5041" s="40" t="str">
        <f>VLOOKUP(B5041,辅助信息!E:I,4,FALSE)</f>
        <v>谢序强</v>
      </c>
      <c r="K5041" s="40">
        <f>VLOOKUP(J5041,辅助信息!H:I,2,FALSE)</f>
        <v>13458588232</v>
      </c>
      <c r="L5041" s="109" t="str">
        <f>VLOOKUP(B5041,辅助信息!E:J,6,FALSE)</f>
        <v>联系实际收货人（谢序强13458588232）五冶建设送货单,一式6份材质书,锈货不收，项目名称：扩建艺体中学二期工程，装货前联系收货人核实到场规格,没提前告知进场规格现场不给予接收</v>
      </c>
      <c r="M5041" s="91">
        <v>45957</v>
      </c>
      <c r="O5041" s="62">
        <f ca="1" t="shared" si="240"/>
        <v>0</v>
      </c>
      <c r="P5041" s="62">
        <f ca="1" t="shared" si="241"/>
        <v>3</v>
      </c>
      <c r="Q5041" s="29" t="str">
        <f>VLOOKUP(B5041,辅助信息!E:M,9,FALSE)</f>
        <v>ZTWM-CDGS-XS-2025-0073-五冶天府-成都怡心湖片区及龙泉驿医院等项目</v>
      </c>
      <c r="R5041" s="29" t="str">
        <f>_xlfn._xlws.FILTER(辅助信息!D:D,辅助信息!E:E=B5041)</f>
        <v>五冶建设扩建艺体中学二期工程</v>
      </c>
    </row>
    <row r="5042" hidden="1" spans="2:18">
      <c r="B5042" s="135" t="s">
        <v>167</v>
      </c>
      <c r="C5042" s="70">
        <v>45957</v>
      </c>
      <c r="D5042" s="40" t="str">
        <f>VLOOKUP(B5042,辅助信息!E:K,7,FALSE)</f>
        <v>JWDDCD2025102100473</v>
      </c>
      <c r="E5042" s="40" t="str">
        <f>VLOOKUP(F5042,辅助信息!A:B,2,FALSE)</f>
        <v>盘螺</v>
      </c>
      <c r="F5042" s="40" t="s">
        <v>40</v>
      </c>
      <c r="G5042" s="36">
        <v>6</v>
      </c>
      <c r="H5042" s="134">
        <v>6</v>
      </c>
      <c r="I5042" s="39" t="str">
        <f>VLOOKUP(B5042,辅助信息!E:I,3,FALSE)</f>
        <v>(五冶建设扩建艺体中学二期工程)四川省成都市双流区光荣路成都艺体中学南200米</v>
      </c>
      <c r="J5042" s="40" t="str">
        <f>VLOOKUP(B5042,辅助信息!E:I,4,FALSE)</f>
        <v>谢序强</v>
      </c>
      <c r="K5042" s="40">
        <f>VLOOKUP(J5042,辅助信息!H:I,2,FALSE)</f>
        <v>13458588232</v>
      </c>
      <c r="L5042" s="109" t="str">
        <f>VLOOKUP(B5042,辅助信息!E:J,6,FALSE)</f>
        <v>联系实际收货人（谢序强13458588232）五冶建设送货单,一式6份材质书,锈货不收，项目名称：扩建艺体中学二期工程，装货前联系收货人核实到场规格,没提前告知进场规格现场不给予接收</v>
      </c>
      <c r="M5042" s="91">
        <v>45957</v>
      </c>
      <c r="O5042" s="62">
        <f ca="1" t="shared" si="240"/>
        <v>0</v>
      </c>
      <c r="P5042" s="62">
        <f ca="1" t="shared" si="241"/>
        <v>3</v>
      </c>
      <c r="Q5042" s="29" t="str">
        <f>VLOOKUP(B5042,辅助信息!E:M,9,FALSE)</f>
        <v>ZTWM-CDGS-XS-2025-0073-五冶天府-成都怡心湖片区及龙泉驿医院等项目</v>
      </c>
      <c r="R5042" s="29" t="str">
        <f>_xlfn._xlws.FILTER(辅助信息!D:D,辅助信息!E:E=B5042)</f>
        <v>五冶建设扩建艺体中学二期工程</v>
      </c>
    </row>
    <row r="5043" hidden="1" spans="2:18">
      <c r="B5043" s="135" t="s">
        <v>167</v>
      </c>
      <c r="C5043" s="70">
        <v>45957</v>
      </c>
      <c r="D5043" s="40" t="str">
        <f>VLOOKUP(B5043,辅助信息!E:K,7,FALSE)</f>
        <v>JWDDCD2025102100473</v>
      </c>
      <c r="E5043" s="40" t="str">
        <f>VLOOKUP(F5043,辅助信息!A:B,2,FALSE)</f>
        <v>盘螺</v>
      </c>
      <c r="F5043" s="40" t="s">
        <v>41</v>
      </c>
      <c r="G5043" s="36">
        <v>6</v>
      </c>
      <c r="H5043" s="134">
        <v>6</v>
      </c>
      <c r="I5043" s="39" t="str">
        <f>VLOOKUP(B5043,辅助信息!E:I,3,FALSE)</f>
        <v>(五冶建设扩建艺体中学二期工程)四川省成都市双流区光荣路成都艺体中学南200米</v>
      </c>
      <c r="J5043" s="40" t="str">
        <f>VLOOKUP(B5043,辅助信息!E:I,4,FALSE)</f>
        <v>谢序强</v>
      </c>
      <c r="K5043" s="40">
        <f>VLOOKUP(J5043,辅助信息!H:I,2,FALSE)</f>
        <v>13458588232</v>
      </c>
      <c r="L5043" s="109" t="str">
        <f>VLOOKUP(B5043,辅助信息!E:J,6,FALSE)</f>
        <v>联系实际收货人（谢序强13458588232）五冶建设送货单,一式6份材质书,锈货不收，项目名称：扩建艺体中学二期工程，装货前联系收货人核实到场规格,没提前告知进场规格现场不给予接收</v>
      </c>
      <c r="M5043" s="91">
        <v>45957</v>
      </c>
      <c r="O5043" s="62">
        <f ca="1" t="shared" si="240"/>
        <v>0</v>
      </c>
      <c r="P5043" s="62">
        <f ca="1" t="shared" si="241"/>
        <v>3</v>
      </c>
      <c r="Q5043" s="29" t="str">
        <f>VLOOKUP(B5043,辅助信息!E:M,9,FALSE)</f>
        <v>ZTWM-CDGS-XS-2025-0073-五冶天府-成都怡心湖片区及龙泉驿医院等项目</v>
      </c>
      <c r="R5043" s="29" t="str">
        <f>_xlfn._xlws.FILTER(辅助信息!D:D,辅助信息!E:E=B5043)</f>
        <v>五冶建设扩建艺体中学二期工程</v>
      </c>
    </row>
    <row r="5044" hidden="1" spans="2:18">
      <c r="B5044" s="135" t="s">
        <v>167</v>
      </c>
      <c r="C5044" s="70">
        <v>45957</v>
      </c>
      <c r="D5044" s="40" t="str">
        <f>VLOOKUP(B5044,辅助信息!E:K,7,FALSE)</f>
        <v>JWDDCD2025102100473</v>
      </c>
      <c r="E5044" s="40" t="str">
        <f>VLOOKUP(F5044,辅助信息!A:B,2,FALSE)</f>
        <v>螺纹钢</v>
      </c>
      <c r="F5044" s="40" t="s">
        <v>27</v>
      </c>
      <c r="G5044" s="36">
        <v>45</v>
      </c>
      <c r="H5044" s="134">
        <v>45</v>
      </c>
      <c r="I5044" s="39" t="str">
        <f>VLOOKUP(B5044,辅助信息!E:I,3,FALSE)</f>
        <v>(五冶建设扩建艺体中学二期工程)四川省成都市双流区光荣路成都艺体中学南200米</v>
      </c>
      <c r="J5044" s="40" t="str">
        <f>VLOOKUP(B5044,辅助信息!E:I,4,FALSE)</f>
        <v>谢序强</v>
      </c>
      <c r="K5044" s="40">
        <f>VLOOKUP(J5044,辅助信息!H:I,2,FALSE)</f>
        <v>13458588232</v>
      </c>
      <c r="L5044" s="109" t="str">
        <f>VLOOKUP(B5044,辅助信息!E:J,6,FALSE)</f>
        <v>联系实际收货人（谢序强13458588232）五冶建设送货单,一式6份材质书,锈货不收，项目名称：扩建艺体中学二期工程，装货前联系收货人核实到场规格,没提前告知进场规格现场不给予接收</v>
      </c>
      <c r="M5044" s="91">
        <v>45957</v>
      </c>
      <c r="O5044" s="62">
        <f ca="1" t="shared" si="240"/>
        <v>0</v>
      </c>
      <c r="P5044" s="62">
        <f ca="1" t="shared" si="241"/>
        <v>3</v>
      </c>
      <c r="Q5044" s="29" t="str">
        <f>VLOOKUP(B5044,辅助信息!E:M,9,FALSE)</f>
        <v>ZTWM-CDGS-XS-2025-0073-五冶天府-成都怡心湖片区及龙泉驿医院等项目</v>
      </c>
      <c r="R5044" s="29" t="str">
        <f>_xlfn._xlws.FILTER(辅助信息!D:D,辅助信息!E:E=B5044)</f>
        <v>五冶建设扩建艺体中学二期工程</v>
      </c>
    </row>
    <row r="5045" hidden="1" spans="2:18">
      <c r="B5045" s="135" t="s">
        <v>167</v>
      </c>
      <c r="C5045" s="70">
        <v>45957</v>
      </c>
      <c r="D5045" s="40" t="str">
        <f>VLOOKUP(B5045,辅助信息!E:K,7,FALSE)</f>
        <v>JWDDCD2025102100473</v>
      </c>
      <c r="E5045" s="40" t="str">
        <f>VLOOKUP(F5045,辅助信息!A:B,2,FALSE)</f>
        <v>螺纹钢</v>
      </c>
      <c r="F5045" s="40" t="s">
        <v>21</v>
      </c>
      <c r="G5045" s="36">
        <v>3</v>
      </c>
      <c r="H5045" s="134">
        <v>3</v>
      </c>
      <c r="I5045" s="39" t="str">
        <f>VLOOKUP(B5045,辅助信息!E:I,3,FALSE)</f>
        <v>(五冶建设扩建艺体中学二期工程)四川省成都市双流区光荣路成都艺体中学南200米</v>
      </c>
      <c r="J5045" s="40" t="str">
        <f>VLOOKUP(B5045,辅助信息!E:I,4,FALSE)</f>
        <v>谢序强</v>
      </c>
      <c r="K5045" s="40">
        <f>VLOOKUP(J5045,辅助信息!H:I,2,FALSE)</f>
        <v>13458588232</v>
      </c>
      <c r="L5045" s="109" t="str">
        <f>VLOOKUP(B5045,辅助信息!E:J,6,FALSE)</f>
        <v>联系实际收货人（谢序强13458588232）五冶建设送货单,一式6份材质书,锈货不收，项目名称：扩建艺体中学二期工程，装货前联系收货人核实到场规格,没提前告知进场规格现场不给予接收</v>
      </c>
      <c r="M5045" s="91">
        <v>45957</v>
      </c>
      <c r="O5045" s="62">
        <f ca="1" t="shared" si="240"/>
        <v>0</v>
      </c>
      <c r="P5045" s="62">
        <f ca="1" t="shared" si="241"/>
        <v>3</v>
      </c>
      <c r="Q5045" s="29" t="str">
        <f>VLOOKUP(B5045,辅助信息!E:M,9,FALSE)</f>
        <v>ZTWM-CDGS-XS-2025-0073-五冶天府-成都怡心湖片区及龙泉驿医院等项目</v>
      </c>
      <c r="R5045" s="29" t="str">
        <f>_xlfn._xlws.FILTER(辅助信息!D:D,辅助信息!E:E=B5045)</f>
        <v>五冶建设扩建艺体中学二期工程</v>
      </c>
    </row>
    <row r="5046" hidden="1" spans="2:18">
      <c r="B5046" s="135" t="s">
        <v>167</v>
      </c>
      <c r="C5046" s="70">
        <v>45957</v>
      </c>
      <c r="D5046" s="40" t="str">
        <f>VLOOKUP(B5046,辅助信息!E:K,7,FALSE)</f>
        <v>JWDDCD2025102100473</v>
      </c>
      <c r="E5046" s="40" t="str">
        <f>VLOOKUP(F5046,辅助信息!A:B,2,FALSE)</f>
        <v>螺纹钢</v>
      </c>
      <c r="F5046" s="40" t="s">
        <v>22</v>
      </c>
      <c r="G5046" s="36">
        <v>40</v>
      </c>
      <c r="H5046" s="134">
        <v>40</v>
      </c>
      <c r="I5046" s="39" t="str">
        <f>VLOOKUP(B5046,辅助信息!E:I,3,FALSE)</f>
        <v>(五冶建设扩建艺体中学二期工程)四川省成都市双流区光荣路成都艺体中学南200米</v>
      </c>
      <c r="J5046" s="40" t="str">
        <f>VLOOKUP(B5046,辅助信息!E:I,4,FALSE)</f>
        <v>谢序强</v>
      </c>
      <c r="K5046" s="40">
        <f>VLOOKUP(J5046,辅助信息!H:I,2,FALSE)</f>
        <v>13458588232</v>
      </c>
      <c r="L5046" s="109" t="str">
        <f>VLOOKUP(B5046,辅助信息!E:J,6,FALSE)</f>
        <v>联系实际收货人（谢序强13458588232）五冶建设送货单,一式6份材质书,锈货不收，项目名称：扩建艺体中学二期工程，装货前联系收货人核实到场规格,没提前告知进场规格现场不给予接收</v>
      </c>
      <c r="M5046" s="91">
        <v>45957</v>
      </c>
      <c r="O5046" s="62">
        <f ca="1" t="shared" si="240"/>
        <v>0</v>
      </c>
      <c r="P5046" s="62">
        <f ca="1" t="shared" si="241"/>
        <v>3</v>
      </c>
      <c r="Q5046" s="29" t="str">
        <f>VLOOKUP(B5046,辅助信息!E:M,9,FALSE)</f>
        <v>ZTWM-CDGS-XS-2025-0073-五冶天府-成都怡心湖片区及龙泉驿医院等项目</v>
      </c>
      <c r="R5046" s="29" t="str">
        <f>_xlfn._xlws.FILTER(辅助信息!D:D,辅助信息!E:E=B5046)</f>
        <v>五冶建设扩建艺体中学二期工程</v>
      </c>
    </row>
    <row r="5047" spans="2:18">
      <c r="B5047" s="135" t="s">
        <v>47</v>
      </c>
      <c r="C5047" s="70">
        <v>45960</v>
      </c>
      <c r="D5047" s="40" t="str">
        <f>VLOOKUP(B5047,辅助信息!E:K,7,FALSE)</f>
        <v>JWDDCD2025052800131</v>
      </c>
      <c r="E5047" s="40" t="str">
        <f>VLOOKUP(F5047,辅助信息!A:B,2,FALSE)</f>
        <v>盘螺</v>
      </c>
      <c r="F5047" s="40" t="s">
        <v>40</v>
      </c>
      <c r="G5047" s="36">
        <v>30</v>
      </c>
      <c r="H5047" s="134" t="str">
        <f>IF(SUMIFS('[1]2025年已发货'!$E:$E,'[1]2025年已发货'!$F:$F,C5047,'[1]2025年已发货'!$C:$C,F5047,'[1]2025年已发货'!$G:$G,I5047,'[1]2025年已发货'!$H:$H,J5047)=0,"未发货",SUMIFS('[1]2025年已发货'!$E:$E,'[1]2025年已发货'!$F:$F,C5047,'[1]2025年已发货'!$C:$C,F5047,'[1]2025年已发货'!$G:$G,I5047,'[1]2025年已发货'!$H:$H,J5047))</f>
        <v>未发货</v>
      </c>
      <c r="I5047" s="39" t="str">
        <f>VLOOKUP(B5047,辅助信息!E:I,3,FALSE)</f>
        <v>（商投建工达州中医药科技园-1工区）达州市通川区达州中医药职业学院犀牛大道北段</v>
      </c>
      <c r="J5047" s="40" t="str">
        <f>VLOOKUP(B5047,辅助信息!E:I,4,FALSE)</f>
        <v>程黄刚</v>
      </c>
      <c r="K5047" s="40">
        <f>VLOOKUP(J5047,辅助信息!H:I,2,FALSE)</f>
        <v>15108211617</v>
      </c>
      <c r="L5047" s="109" t="str">
        <f>VLOOKUP(B5047,辅助信息!E:J,6,FALSE)</f>
        <v>控制炉批号！多了现场不收！,优先安排达钢,提前联系到场规格及数量</v>
      </c>
      <c r="M5047" s="91">
        <v>45957</v>
      </c>
      <c r="O5047" s="62">
        <f ca="1" t="shared" si="240"/>
        <v>0</v>
      </c>
      <c r="P5047" s="62">
        <f ca="1" t="shared" si="241"/>
        <v>3</v>
      </c>
      <c r="Q5047" s="29" t="str">
        <f>VLOOKUP(B5047,辅助信息!E:M,9,FALSE)</f>
        <v>ZTWM-CDGS-XS-2024-0134-商投建工达州中医药科技成果示范园项目</v>
      </c>
      <c r="R5047" s="29" t="str">
        <f>_xlfn._xlws.FILTER(辅助信息!D:D,辅助信息!E:E=B5047)</f>
        <v>商投建工达州中医药科技园</v>
      </c>
    </row>
    <row r="5048" spans="2:18">
      <c r="B5048" s="135" t="s">
        <v>47</v>
      </c>
      <c r="C5048" s="70">
        <v>45960</v>
      </c>
      <c r="D5048" s="40" t="str">
        <f>VLOOKUP(B5048,辅助信息!E:K,7,FALSE)</f>
        <v>JWDDCD2025052800131</v>
      </c>
      <c r="E5048" s="40" t="str">
        <f>VLOOKUP(F5048,辅助信息!A:B,2,FALSE)</f>
        <v>盘螺</v>
      </c>
      <c r="F5048" s="40" t="s">
        <v>41</v>
      </c>
      <c r="G5048" s="36">
        <v>15</v>
      </c>
      <c r="H5048" s="134" t="str">
        <f>IF(SUMIFS('[1]2025年已发货'!$E:$E,'[1]2025年已发货'!$F:$F,C5048,'[1]2025年已发货'!$C:$C,F5048,'[1]2025年已发货'!$G:$G,I5048,'[1]2025年已发货'!$H:$H,J5048)=0,"未发货",SUMIFS('[1]2025年已发货'!$E:$E,'[1]2025年已发货'!$F:$F,C5048,'[1]2025年已发货'!$C:$C,F5048,'[1]2025年已发货'!$G:$G,I5048,'[1]2025年已发货'!$H:$H,J5048))</f>
        <v>未发货</v>
      </c>
      <c r="I5048" s="39" t="str">
        <f>VLOOKUP(B5048,辅助信息!E:I,3,FALSE)</f>
        <v>（商投建工达州中医药科技园-1工区）达州市通川区达州中医药职业学院犀牛大道北段</v>
      </c>
      <c r="J5048" s="40" t="str">
        <f>VLOOKUP(B5048,辅助信息!E:I,4,FALSE)</f>
        <v>程黄刚</v>
      </c>
      <c r="K5048" s="40">
        <f>VLOOKUP(J5048,辅助信息!H:I,2,FALSE)</f>
        <v>15108211617</v>
      </c>
      <c r="L5048" s="109" t="str">
        <f>VLOOKUP(B5048,辅助信息!E:J,6,FALSE)</f>
        <v>控制炉批号！多了现场不收！,优先安排达钢,提前联系到场规格及数量</v>
      </c>
      <c r="M5048" s="91">
        <v>45957</v>
      </c>
      <c r="O5048" s="62">
        <f ca="1" t="shared" si="240"/>
        <v>0</v>
      </c>
      <c r="P5048" s="62">
        <f ca="1" t="shared" si="241"/>
        <v>3</v>
      </c>
      <c r="Q5048" s="29" t="str">
        <f>VLOOKUP(B5048,辅助信息!E:M,9,FALSE)</f>
        <v>ZTWM-CDGS-XS-2024-0134-商投建工达州中医药科技成果示范园项目</v>
      </c>
      <c r="R5048" s="29" t="str">
        <f>_xlfn._xlws.FILTER(辅助信息!D:D,辅助信息!E:E=B5048)</f>
        <v>商投建工达州中医药科技园</v>
      </c>
    </row>
    <row r="5049" spans="2:18">
      <c r="B5049" s="135" t="s">
        <v>47</v>
      </c>
      <c r="C5049" s="70">
        <v>45960</v>
      </c>
      <c r="D5049" s="40" t="str">
        <f>VLOOKUP(B5049,辅助信息!E:K,7,FALSE)</f>
        <v>JWDDCD2025052800131</v>
      </c>
      <c r="E5049" s="40" t="str">
        <f>VLOOKUP(F5049,辅助信息!A:B,2,FALSE)</f>
        <v>螺纹钢</v>
      </c>
      <c r="F5049" s="40" t="s">
        <v>33</v>
      </c>
      <c r="G5049" s="36">
        <v>6</v>
      </c>
      <c r="H5049" s="134" t="str">
        <f>IF(SUMIFS('[1]2025年已发货'!$E:$E,'[1]2025年已发货'!$F:$F,C5049,'[1]2025年已发货'!$C:$C,F5049,'[1]2025年已发货'!$G:$G,I5049,'[1]2025年已发货'!$H:$H,J5049)=0,"未发货",SUMIFS('[1]2025年已发货'!$E:$E,'[1]2025年已发货'!$F:$F,C5049,'[1]2025年已发货'!$C:$C,F5049,'[1]2025年已发货'!$G:$G,I5049,'[1]2025年已发货'!$H:$H,J5049))</f>
        <v>未发货</v>
      </c>
      <c r="I5049" s="39" t="str">
        <f>VLOOKUP(B5049,辅助信息!E:I,3,FALSE)</f>
        <v>（商投建工达州中医药科技园-1工区）达州市通川区达州中医药职业学院犀牛大道北段</v>
      </c>
      <c r="J5049" s="40" t="str">
        <f>VLOOKUP(B5049,辅助信息!E:I,4,FALSE)</f>
        <v>程黄刚</v>
      </c>
      <c r="K5049" s="40">
        <f>VLOOKUP(J5049,辅助信息!H:I,2,FALSE)</f>
        <v>15108211617</v>
      </c>
      <c r="L5049" s="109" t="str">
        <f>VLOOKUP(B5049,辅助信息!E:J,6,FALSE)</f>
        <v>控制炉批号！多了现场不收！,优先安排达钢,提前联系到场规格及数量</v>
      </c>
      <c r="M5049" s="91">
        <v>45957</v>
      </c>
      <c r="O5049" s="62">
        <f ca="1" t="shared" si="240"/>
        <v>0</v>
      </c>
      <c r="P5049" s="62">
        <f ca="1" t="shared" si="241"/>
        <v>3</v>
      </c>
      <c r="Q5049" s="29" t="str">
        <f>VLOOKUP(B5049,辅助信息!E:M,9,FALSE)</f>
        <v>ZTWM-CDGS-XS-2024-0134-商投建工达州中医药科技成果示范园项目</v>
      </c>
      <c r="R5049" s="29" t="str">
        <f>_xlfn._xlws.FILTER(辅助信息!D:D,辅助信息!E:E=B5049)</f>
        <v>商投建工达州中医药科技园</v>
      </c>
    </row>
    <row r="5050" hidden="1" spans="2:18">
      <c r="B5050" s="135" t="s">
        <v>47</v>
      </c>
      <c r="C5050" s="70">
        <v>45957</v>
      </c>
      <c r="D5050" s="40" t="str">
        <f>VLOOKUP(B5050,辅助信息!E:K,7,FALSE)</f>
        <v>JWDDCD2025052800131</v>
      </c>
      <c r="E5050" s="40" t="str">
        <f>VLOOKUP(F5050,辅助信息!A:B,2,FALSE)</f>
        <v>螺纹钢</v>
      </c>
      <c r="F5050" s="40" t="s">
        <v>66</v>
      </c>
      <c r="G5050" s="36">
        <v>6</v>
      </c>
      <c r="H5050" s="134">
        <f>IF(SUMIFS('[1]2025年已发货'!$E:$E,'[1]2025年已发货'!$F:$F,C5050,'[1]2025年已发货'!$C:$C,F5050,'[1]2025年已发货'!$G:$G,I5050,'[1]2025年已发货'!$H:$H,J5050)=0,"未发货",SUMIFS('[1]2025年已发货'!$E:$E,'[1]2025年已发货'!$F:$F,C5050,'[1]2025年已发货'!$C:$C,F5050,'[1]2025年已发货'!$G:$G,I5050,'[1]2025年已发货'!$H:$H,J5050))</f>
        <v>6</v>
      </c>
      <c r="I5050" s="39" t="str">
        <f>VLOOKUP(B5050,辅助信息!E:I,3,FALSE)</f>
        <v>（商投建工达州中医药科技园-1工区）达州市通川区达州中医药职业学院犀牛大道北段</v>
      </c>
      <c r="J5050" s="40" t="str">
        <f>VLOOKUP(B5050,辅助信息!E:I,4,FALSE)</f>
        <v>程黄刚</v>
      </c>
      <c r="K5050" s="40">
        <f>VLOOKUP(J5050,辅助信息!H:I,2,FALSE)</f>
        <v>15108211617</v>
      </c>
      <c r="L5050" s="109" t="str">
        <f>VLOOKUP(B5050,辅助信息!E:J,6,FALSE)</f>
        <v>控制炉批号！多了现场不收！,优先安排达钢,提前联系到场规格及数量</v>
      </c>
      <c r="M5050" s="91">
        <v>45957</v>
      </c>
      <c r="O5050" s="62">
        <f ca="1" t="shared" si="240"/>
        <v>0</v>
      </c>
      <c r="P5050" s="62">
        <f ca="1" t="shared" si="241"/>
        <v>3</v>
      </c>
      <c r="Q5050" s="29" t="str">
        <f>VLOOKUP(B5050,辅助信息!E:M,9,FALSE)</f>
        <v>ZTWM-CDGS-XS-2024-0134-商投建工达州中医药科技成果示范园项目</v>
      </c>
      <c r="R5050" s="29" t="str">
        <f>_xlfn._xlws.FILTER(辅助信息!D:D,辅助信息!E:E=B5050)</f>
        <v>商投建工达州中医药科技园</v>
      </c>
    </row>
    <row r="5051" hidden="1" spans="2:18">
      <c r="B5051" s="135" t="s">
        <v>47</v>
      </c>
      <c r="C5051" s="70">
        <v>45957</v>
      </c>
      <c r="D5051" s="40" t="str">
        <f>VLOOKUP(B5051,辅助信息!E:K,7,FALSE)</f>
        <v>JWDDCD2025052800131</v>
      </c>
      <c r="E5051" s="40" t="str">
        <f>VLOOKUP(F5051,辅助信息!A:B,2,FALSE)</f>
        <v>螺纹钢</v>
      </c>
      <c r="F5051" s="40" t="s">
        <v>45</v>
      </c>
      <c r="G5051" s="36">
        <v>6</v>
      </c>
      <c r="H5051" s="134">
        <f>IF(SUMIFS('[1]2025年已发货'!$E:$E,'[1]2025年已发货'!$F:$F,C5051,'[1]2025年已发货'!$C:$C,F5051,'[1]2025年已发货'!$G:$G,I5051,'[1]2025年已发货'!$H:$H,J5051)=0,"未发货",SUMIFS('[1]2025年已发货'!$E:$E,'[1]2025年已发货'!$F:$F,C5051,'[1]2025年已发货'!$C:$C,F5051,'[1]2025年已发货'!$G:$G,I5051,'[1]2025年已发货'!$H:$H,J5051))</f>
        <v>6</v>
      </c>
      <c r="I5051" s="39" t="str">
        <f>VLOOKUP(B5051,辅助信息!E:I,3,FALSE)</f>
        <v>（商投建工达州中医药科技园-1工区）达州市通川区达州中医药职业学院犀牛大道北段</v>
      </c>
      <c r="J5051" s="40" t="str">
        <f>VLOOKUP(B5051,辅助信息!E:I,4,FALSE)</f>
        <v>程黄刚</v>
      </c>
      <c r="K5051" s="40">
        <f>VLOOKUP(J5051,辅助信息!H:I,2,FALSE)</f>
        <v>15108211617</v>
      </c>
      <c r="L5051" s="109" t="str">
        <f>VLOOKUP(B5051,辅助信息!E:J,6,FALSE)</f>
        <v>控制炉批号！多了现场不收！,优先安排达钢,提前联系到场规格及数量</v>
      </c>
      <c r="M5051" s="91">
        <v>45957</v>
      </c>
      <c r="O5051" s="62">
        <f ca="1" t="shared" si="240"/>
        <v>0</v>
      </c>
      <c r="P5051" s="62">
        <f ca="1" t="shared" si="241"/>
        <v>3</v>
      </c>
      <c r="Q5051" s="29" t="str">
        <f>VLOOKUP(B5051,辅助信息!E:M,9,FALSE)</f>
        <v>ZTWM-CDGS-XS-2024-0134-商投建工达州中医药科技成果示范园项目</v>
      </c>
      <c r="R5051" s="29" t="str">
        <f>_xlfn._xlws.FILTER(辅助信息!D:D,辅助信息!E:E=B5051)</f>
        <v>商投建工达州中医药科技园</v>
      </c>
    </row>
    <row r="5052" hidden="1" spans="2:18">
      <c r="B5052" s="135" t="s">
        <v>47</v>
      </c>
      <c r="C5052" s="70">
        <v>45957</v>
      </c>
      <c r="D5052" s="40" t="str">
        <f>VLOOKUP(B5052,辅助信息!E:K,7,FALSE)</f>
        <v>JWDDCD2025052800131</v>
      </c>
      <c r="E5052" s="40" t="str">
        <f>VLOOKUP(F5052,辅助信息!A:B,2,FALSE)</f>
        <v>螺纹钢</v>
      </c>
      <c r="F5052" s="40" t="s">
        <v>21</v>
      </c>
      <c r="G5052" s="36">
        <v>6</v>
      </c>
      <c r="H5052" s="134">
        <f>IF(SUMIFS('[1]2025年已发货'!$E:$E,'[1]2025年已发货'!$F:$F,C5052,'[1]2025年已发货'!$C:$C,F5052,'[1]2025年已发货'!$G:$G,I5052,'[1]2025年已发货'!$H:$H,J5052)=0,"未发货",SUMIFS('[1]2025年已发货'!$E:$E,'[1]2025年已发货'!$F:$F,C5052,'[1]2025年已发货'!$C:$C,F5052,'[1]2025年已发货'!$G:$G,I5052,'[1]2025年已发货'!$H:$H,J5052))</f>
        <v>6</v>
      </c>
      <c r="I5052" s="39" t="str">
        <f>VLOOKUP(B5052,辅助信息!E:I,3,FALSE)</f>
        <v>（商投建工达州中医药科技园-1工区）达州市通川区达州中医药职业学院犀牛大道北段</v>
      </c>
      <c r="J5052" s="40" t="str">
        <f>VLOOKUP(B5052,辅助信息!E:I,4,FALSE)</f>
        <v>程黄刚</v>
      </c>
      <c r="K5052" s="40">
        <f>VLOOKUP(J5052,辅助信息!H:I,2,FALSE)</f>
        <v>15108211617</v>
      </c>
      <c r="L5052" s="109" t="str">
        <f>VLOOKUP(B5052,辅助信息!E:J,6,FALSE)</f>
        <v>控制炉批号！多了现场不收！,优先安排达钢,提前联系到场规格及数量</v>
      </c>
      <c r="M5052" s="91">
        <v>45957</v>
      </c>
      <c r="O5052" s="62">
        <f ca="1" t="shared" si="240"/>
        <v>0</v>
      </c>
      <c r="P5052" s="62">
        <f ca="1" t="shared" si="241"/>
        <v>3</v>
      </c>
      <c r="Q5052" s="29" t="str">
        <f>VLOOKUP(B5052,辅助信息!E:M,9,FALSE)</f>
        <v>ZTWM-CDGS-XS-2024-0134-商投建工达州中医药科技成果示范园项目</v>
      </c>
      <c r="R5052" s="29" t="str">
        <f>_xlfn._xlws.FILTER(辅助信息!D:D,辅助信息!E:E=B5052)</f>
        <v>商投建工达州中医药科技园</v>
      </c>
    </row>
    <row r="5053" hidden="1" spans="2:18">
      <c r="B5053" s="135" t="s">
        <v>47</v>
      </c>
      <c r="C5053" s="70">
        <v>45957</v>
      </c>
      <c r="D5053" s="40" t="str">
        <f>VLOOKUP(B5053,辅助信息!E:K,7,FALSE)</f>
        <v>JWDDCD2025052800131</v>
      </c>
      <c r="E5053" s="40" t="str">
        <f>VLOOKUP(F5053,辅助信息!A:B,2,FALSE)</f>
        <v>螺纹钢</v>
      </c>
      <c r="F5053" s="40" t="s">
        <v>58</v>
      </c>
      <c r="G5053" s="36">
        <v>9</v>
      </c>
      <c r="H5053" s="134">
        <f>IF(SUMIFS('[1]2025年已发货'!$E:$E,'[1]2025年已发货'!$F:$F,C5053,'[1]2025年已发货'!$C:$C,F5053,'[1]2025年已发货'!$G:$G,I5053,'[1]2025年已发货'!$H:$H,J5053)=0,"未发货",SUMIFS('[1]2025年已发货'!$E:$E,'[1]2025年已发货'!$F:$F,C5053,'[1]2025年已发货'!$C:$C,F5053,'[1]2025年已发货'!$G:$G,I5053,'[1]2025年已发货'!$H:$H,J5053))</f>
        <v>9</v>
      </c>
      <c r="I5053" s="39" t="str">
        <f>VLOOKUP(B5053,辅助信息!E:I,3,FALSE)</f>
        <v>（商投建工达州中医药科技园-1工区）达州市通川区达州中医药职业学院犀牛大道北段</v>
      </c>
      <c r="J5053" s="40" t="str">
        <f>VLOOKUP(B5053,辅助信息!E:I,4,FALSE)</f>
        <v>程黄刚</v>
      </c>
      <c r="K5053" s="40">
        <f>VLOOKUP(J5053,辅助信息!H:I,2,FALSE)</f>
        <v>15108211617</v>
      </c>
      <c r="L5053" s="109" t="str">
        <f>VLOOKUP(B5053,辅助信息!E:J,6,FALSE)</f>
        <v>控制炉批号！多了现场不收！,优先安排达钢,提前联系到场规格及数量</v>
      </c>
      <c r="M5053" s="91">
        <v>45957</v>
      </c>
      <c r="O5053" s="62">
        <f ca="1" t="shared" si="240"/>
        <v>0</v>
      </c>
      <c r="P5053" s="62">
        <f ca="1" t="shared" si="241"/>
        <v>3</v>
      </c>
      <c r="Q5053" s="29" t="str">
        <f>VLOOKUP(B5053,辅助信息!E:M,9,FALSE)</f>
        <v>ZTWM-CDGS-XS-2024-0134-商投建工达州中医药科技成果示范园项目</v>
      </c>
      <c r="R5053" s="29" t="str">
        <f>_xlfn._xlws.FILTER(辅助信息!D:D,辅助信息!E:E=B5053)</f>
        <v>商投建工达州中医药科技园</v>
      </c>
    </row>
    <row r="5054" hidden="1" spans="2:18">
      <c r="B5054" s="135" t="s">
        <v>47</v>
      </c>
      <c r="C5054" s="70">
        <v>45957</v>
      </c>
      <c r="D5054" s="40" t="str">
        <f>VLOOKUP(B5054,辅助信息!E:K,7,FALSE)</f>
        <v>JWDDCD2025052800131</v>
      </c>
      <c r="E5054" s="40" t="str">
        <f>VLOOKUP(F5054,辅助信息!A:B,2,FALSE)</f>
        <v>螺纹钢</v>
      </c>
      <c r="F5054" s="40" t="s">
        <v>46</v>
      </c>
      <c r="G5054" s="36">
        <v>9</v>
      </c>
      <c r="H5054" s="134">
        <f>IF(SUMIFS('[1]2025年已发货'!$E:$E,'[1]2025年已发货'!$F:$F,C5054,'[1]2025年已发货'!$C:$C,F5054,'[1]2025年已发货'!$G:$G,I5054,'[1]2025年已发货'!$H:$H,J5054)=0,"未发货",SUMIFS('[1]2025年已发货'!$E:$E,'[1]2025年已发货'!$F:$F,C5054,'[1]2025年已发货'!$C:$C,F5054,'[1]2025年已发货'!$G:$G,I5054,'[1]2025年已发货'!$H:$H,J5054))</f>
        <v>9</v>
      </c>
      <c r="I5054" s="39" t="str">
        <f>VLOOKUP(B5054,辅助信息!E:I,3,FALSE)</f>
        <v>（商投建工达州中医药科技园-1工区）达州市通川区达州中医药职业学院犀牛大道北段</v>
      </c>
      <c r="J5054" s="40" t="str">
        <f>VLOOKUP(B5054,辅助信息!E:I,4,FALSE)</f>
        <v>程黄刚</v>
      </c>
      <c r="K5054" s="40">
        <f>VLOOKUP(J5054,辅助信息!H:I,2,FALSE)</f>
        <v>15108211617</v>
      </c>
      <c r="L5054" s="109" t="str">
        <f>VLOOKUP(B5054,辅助信息!E:J,6,FALSE)</f>
        <v>控制炉批号！多了现场不收！,优先安排达钢,提前联系到场规格及数量</v>
      </c>
      <c r="M5054" s="91">
        <v>45957</v>
      </c>
      <c r="O5054" s="62">
        <f ca="1" t="shared" si="240"/>
        <v>0</v>
      </c>
      <c r="P5054" s="62">
        <f ca="1" t="shared" si="241"/>
        <v>3</v>
      </c>
      <c r="Q5054" s="29" t="str">
        <f>VLOOKUP(B5054,辅助信息!E:M,9,FALSE)</f>
        <v>ZTWM-CDGS-XS-2024-0134-商投建工达州中医药科技成果示范园项目</v>
      </c>
      <c r="R5054" s="29" t="str">
        <f>_xlfn._xlws.FILTER(辅助信息!D:D,辅助信息!E:E=B5054)</f>
        <v>商投建工达州中医药科技园</v>
      </c>
    </row>
    <row r="5055" hidden="1" spans="1:18">
      <c r="A5055" s="71" t="s">
        <v>100</v>
      </c>
      <c r="B5055" s="135" t="s">
        <v>167</v>
      </c>
      <c r="C5055" s="70">
        <v>45957</v>
      </c>
      <c r="D5055" s="40" t="str">
        <f>VLOOKUP(B5055,辅助信息!E:K,7,FALSE)</f>
        <v>JWDDCD2025102100473</v>
      </c>
      <c r="E5055" s="40" t="str">
        <f>VLOOKUP(F5055,辅助信息!A:B,2,FALSE)</f>
        <v>螺纹钢</v>
      </c>
      <c r="F5055" s="40" t="s">
        <v>27</v>
      </c>
      <c r="G5055" s="36">
        <v>15</v>
      </c>
      <c r="H5055" s="134">
        <v>15</v>
      </c>
      <c r="I5055" s="39" t="str">
        <f>VLOOKUP(B5055,辅助信息!E:I,3,FALSE)</f>
        <v>(五冶建设扩建艺体中学二期工程)四川省成都市双流区光荣路成都艺体中学南200米</v>
      </c>
      <c r="J5055" s="40" t="str">
        <f>VLOOKUP(B5055,辅助信息!E:I,4,FALSE)</f>
        <v>谢序强</v>
      </c>
      <c r="K5055" s="40">
        <f>VLOOKUP(J5055,辅助信息!H:I,2,FALSE)</f>
        <v>13458588232</v>
      </c>
      <c r="L5055" s="109" t="str">
        <f>VLOOKUP(B5055,辅助信息!E:J,6,FALSE)</f>
        <v>联系实际收货人（谢序强13458588232）五冶建设送货单,一式6份材质书,锈货不收，项目名称：扩建艺体中学二期工程，装货前联系收货人核实到场规格,没提前告知进场规格现场不给予接收</v>
      </c>
      <c r="M5055" s="91">
        <v>45957</v>
      </c>
      <c r="O5055" s="62">
        <f ca="1" t="shared" si="240"/>
        <v>0</v>
      </c>
      <c r="P5055" s="62">
        <f ca="1" t="shared" si="241"/>
        <v>3</v>
      </c>
      <c r="Q5055" s="29" t="str">
        <f>VLOOKUP(B5055,辅助信息!E:M,9,FALSE)</f>
        <v>ZTWM-CDGS-XS-2025-0073-五冶天府-成都怡心湖片区及龙泉驿医院等项目</v>
      </c>
      <c r="R5055" s="29" t="str">
        <f>_xlfn._xlws.FILTER(辅助信息!D:D,辅助信息!E:E=B5055)</f>
        <v>五冶建设扩建艺体中学二期工程</v>
      </c>
    </row>
    <row r="5056" hidden="1" spans="1:18">
      <c r="A5056" s="71"/>
      <c r="B5056" s="135" t="s">
        <v>167</v>
      </c>
      <c r="C5056" s="70">
        <v>45957</v>
      </c>
      <c r="D5056" s="40" t="str">
        <f>VLOOKUP(B5056,辅助信息!E:K,7,FALSE)</f>
        <v>JWDDCD2025102100473</v>
      </c>
      <c r="E5056" s="40" t="str">
        <f>VLOOKUP(F5056,辅助信息!A:B,2,FALSE)</f>
        <v>螺纹钢</v>
      </c>
      <c r="F5056" s="40" t="s">
        <v>82</v>
      </c>
      <c r="G5056" s="36">
        <v>10</v>
      </c>
      <c r="H5056" s="134">
        <v>10</v>
      </c>
      <c r="I5056" s="39" t="str">
        <f>VLOOKUP(B5056,辅助信息!E:I,3,FALSE)</f>
        <v>(五冶建设扩建艺体中学二期工程)四川省成都市双流区光荣路成都艺体中学南200米</v>
      </c>
      <c r="J5056" s="40" t="str">
        <f>VLOOKUP(B5056,辅助信息!E:I,4,FALSE)</f>
        <v>谢序强</v>
      </c>
      <c r="K5056" s="40">
        <f>VLOOKUP(J5056,辅助信息!H:I,2,FALSE)</f>
        <v>13458588232</v>
      </c>
      <c r="L5056" s="109" t="str">
        <f>VLOOKUP(B5056,辅助信息!E:J,6,FALSE)</f>
        <v>联系实际收货人（谢序强13458588232）五冶建设送货单,一式6份材质书,锈货不收，项目名称：扩建艺体中学二期工程，装货前联系收货人核实到场规格,没提前告知进场规格现场不给予接收</v>
      </c>
      <c r="M5056" s="91">
        <v>45957</v>
      </c>
      <c r="O5056" s="62">
        <f ca="1" t="shared" si="240"/>
        <v>0</v>
      </c>
      <c r="P5056" s="62">
        <f ca="1" t="shared" si="241"/>
        <v>3</v>
      </c>
      <c r="Q5056" s="29" t="str">
        <f>VLOOKUP(B5056,辅助信息!E:M,9,FALSE)</f>
        <v>ZTWM-CDGS-XS-2025-0073-五冶天府-成都怡心湖片区及龙泉驿医院等项目</v>
      </c>
      <c r="R5056" s="29" t="str">
        <f>_xlfn._xlws.FILTER(辅助信息!D:D,辅助信息!E:E=B5056)</f>
        <v>五冶建设扩建艺体中学二期工程</v>
      </c>
    </row>
    <row r="5057" hidden="1" spans="1:18">
      <c r="A5057" s="71"/>
      <c r="B5057" s="135" t="s">
        <v>167</v>
      </c>
      <c r="C5057" s="70">
        <v>45957</v>
      </c>
      <c r="D5057" s="40" t="str">
        <f>VLOOKUP(B5057,辅助信息!E:K,7,FALSE)</f>
        <v>JWDDCD2025102100473</v>
      </c>
      <c r="E5057" s="40" t="str">
        <f>VLOOKUP(F5057,辅助信息!A:B,2,FALSE)</f>
        <v>螺纹钢</v>
      </c>
      <c r="F5057" s="40" t="s">
        <v>22</v>
      </c>
      <c r="G5057" s="36">
        <v>10</v>
      </c>
      <c r="H5057" s="134">
        <v>10</v>
      </c>
      <c r="I5057" s="39" t="str">
        <f>VLOOKUP(B5057,辅助信息!E:I,3,FALSE)</f>
        <v>(五冶建设扩建艺体中学二期工程)四川省成都市双流区光荣路成都艺体中学南200米</v>
      </c>
      <c r="J5057" s="40" t="str">
        <f>VLOOKUP(B5057,辅助信息!E:I,4,FALSE)</f>
        <v>谢序强</v>
      </c>
      <c r="K5057" s="40">
        <f>VLOOKUP(J5057,辅助信息!H:I,2,FALSE)</f>
        <v>13458588232</v>
      </c>
      <c r="L5057" s="109" t="str">
        <f>VLOOKUP(B5057,辅助信息!E:J,6,FALSE)</f>
        <v>联系实际收货人（谢序强13458588232）五冶建设送货单,一式6份材质书,锈货不收，项目名称：扩建艺体中学二期工程，装货前联系收货人核实到场规格,没提前告知进场规格现场不给予接收</v>
      </c>
      <c r="M5057" s="91">
        <v>45957</v>
      </c>
      <c r="O5057" s="62">
        <f ca="1" t="shared" si="240"/>
        <v>0</v>
      </c>
      <c r="P5057" s="62">
        <f ca="1" t="shared" si="241"/>
        <v>3</v>
      </c>
      <c r="Q5057" s="29" t="str">
        <f>VLOOKUP(B5057,辅助信息!E:M,9,FALSE)</f>
        <v>ZTWM-CDGS-XS-2025-0073-五冶天府-成都怡心湖片区及龙泉驿医院等项目</v>
      </c>
      <c r="R5057" s="29" t="str">
        <f>_xlfn._xlws.FILTER(辅助信息!D:D,辅助信息!E:E=B5057)</f>
        <v>五冶建设扩建艺体中学二期工程</v>
      </c>
    </row>
    <row r="5058" hidden="1" spans="2:18">
      <c r="B5058" s="135" t="s">
        <v>194</v>
      </c>
      <c r="C5058" s="70">
        <v>45958</v>
      </c>
      <c r="D5058" s="40" t="str">
        <f>VLOOKUP(B5058,辅助信息!E:K,7,FALSE)</f>
        <v>JWDD2025071500089</v>
      </c>
      <c r="E5058" s="40" t="str">
        <f>VLOOKUP(F5058,辅助信息!A:B,2,FALSE)</f>
        <v>盘螺</v>
      </c>
      <c r="F5058" s="40" t="s">
        <v>40</v>
      </c>
      <c r="G5058" s="36">
        <v>35</v>
      </c>
      <c r="H5058" s="134">
        <f>IF(SUMIFS('[1]2025年已发货'!$E:$E,'[1]2025年已发货'!$F:$F,C5058,'[1]2025年已发货'!$C:$C,F5058,'[1]2025年已发货'!$G:$G,I5058,'[1]2025年已发货'!$H:$H,J5058)=0,"未发货",SUMIFS('[1]2025年已发货'!$E:$E,'[1]2025年已发货'!$F:$F,C5058,'[1]2025年已发货'!$C:$C,F5058,'[1]2025年已发货'!$G:$G,I5058,'[1]2025年已发货'!$H:$H,J5058))</f>
        <v>35</v>
      </c>
      <c r="I5058" s="39" t="str">
        <f>VLOOKUP(B5058,辅助信息!E:I,3,FALSE)</f>
        <v>(宜宾兴港三江新区长江工业园保障性租赁住房建设项目-土建)四川省宜宾市翠屏区永善路南段宜宾市三江新区长江工业园区</v>
      </c>
      <c r="J5058" s="40" t="str">
        <f>VLOOKUP(B5058,辅助信息!E:I,4,FALSE)</f>
        <v>赵元虎</v>
      </c>
      <c r="K5058" s="40">
        <f>VLOOKUP(J5058,辅助信息!H:I,2,FALSE)</f>
        <v>13684167136</v>
      </c>
      <c r="L5058" s="109" t="str">
        <f>VLOOKUP(B5058,辅助信息!E:J,6,FALSE)</f>
        <v>现场要求调度统一联系指定收货人，不单独发司机位置。锈货不收，装货前联系收货人核实到场规格,没提前告知进场规格现场不给予接收</v>
      </c>
      <c r="M5058" s="91">
        <v>45957</v>
      </c>
      <c r="O5058" s="62">
        <f ca="1" t="shared" si="240"/>
        <v>0</v>
      </c>
      <c r="P5058" s="62">
        <f ca="1" t="shared" si="241"/>
        <v>3</v>
      </c>
      <c r="Q5058" s="29" t="str">
        <f>VLOOKUP(B5058,辅助信息!E:M,9,FALSE)</f>
        <v>ZTWM-CDYXGS-XS-2025-0014-宜宾兴港建材-三江新区长江工业园片区保障性租赁住房建设项目</v>
      </c>
      <c r="R5058" s="29" t="str">
        <f>_xlfn._xlws.FILTER(辅助信息!D:D,辅助信息!E:E=B5058)</f>
        <v>宜宾兴港三江新区长江工业园建设项目</v>
      </c>
    </row>
    <row r="5059" hidden="1" spans="2:18">
      <c r="B5059" s="135" t="s">
        <v>194</v>
      </c>
      <c r="C5059" s="70">
        <v>45958</v>
      </c>
      <c r="D5059" s="40" t="str">
        <f>VLOOKUP(B5059,辅助信息!E:K,7,FALSE)</f>
        <v>JWDD2025071500089</v>
      </c>
      <c r="E5059" s="40" t="str">
        <f>VLOOKUP(F5059,辅助信息!A:B,2,FALSE)</f>
        <v>螺纹钢</v>
      </c>
      <c r="F5059" s="40" t="s">
        <v>27</v>
      </c>
      <c r="G5059" s="36">
        <v>10</v>
      </c>
      <c r="H5059" s="134">
        <f>IF(SUMIFS('[1]2025年已发货'!$E:$E,'[1]2025年已发货'!$F:$F,C5059,'[1]2025年已发货'!$C:$C,F5059,'[1]2025年已发货'!$G:$G,I5059,'[1]2025年已发货'!$H:$H,J5059)=0,"未发货",SUMIFS('[1]2025年已发货'!$E:$E,'[1]2025年已发货'!$F:$F,C5059,'[1]2025年已发货'!$C:$C,F5059,'[1]2025年已发货'!$G:$G,I5059,'[1]2025年已发货'!$H:$H,J5059))</f>
        <v>10</v>
      </c>
      <c r="I5059" s="39" t="str">
        <f>VLOOKUP(B5059,辅助信息!E:I,3,FALSE)</f>
        <v>(宜宾兴港三江新区长江工业园保障性租赁住房建设项目-土建)四川省宜宾市翠屏区永善路南段宜宾市三江新区长江工业园区</v>
      </c>
      <c r="J5059" s="40" t="str">
        <f>VLOOKUP(B5059,辅助信息!E:I,4,FALSE)</f>
        <v>赵元虎</v>
      </c>
      <c r="K5059" s="40">
        <f>VLOOKUP(J5059,辅助信息!H:I,2,FALSE)</f>
        <v>13684167136</v>
      </c>
      <c r="L5059" s="109" t="str">
        <f>VLOOKUP(B5059,辅助信息!E:J,6,FALSE)</f>
        <v>现场要求调度统一联系指定收货人，不单独发司机位置。锈货不收，装货前联系收货人核实到场规格,没提前告知进场规格现场不给予接收</v>
      </c>
      <c r="M5059" s="91">
        <v>45957</v>
      </c>
      <c r="O5059" s="62">
        <f ca="1" t="shared" si="240"/>
        <v>0</v>
      </c>
      <c r="P5059" s="62">
        <f ca="1" t="shared" si="241"/>
        <v>3</v>
      </c>
      <c r="Q5059" s="29" t="str">
        <f>VLOOKUP(B5059,辅助信息!E:M,9,FALSE)</f>
        <v>ZTWM-CDYXGS-XS-2025-0014-宜宾兴港建材-三江新区长江工业园片区保障性租赁住房建设项目</v>
      </c>
      <c r="R5059" s="29" t="str">
        <f>_xlfn._xlws.FILTER(辅助信息!D:D,辅助信息!E:E=B5059)</f>
        <v>宜宾兴港三江新区长江工业园建设项目</v>
      </c>
    </row>
    <row r="5060" hidden="1" spans="2:18">
      <c r="B5060" s="135" t="s">
        <v>194</v>
      </c>
      <c r="C5060" s="70">
        <v>45958</v>
      </c>
      <c r="D5060" s="40" t="str">
        <f>VLOOKUP(B5060,辅助信息!E:K,7,FALSE)</f>
        <v>JWDD2025071500089</v>
      </c>
      <c r="E5060" s="40" t="str">
        <f>VLOOKUP(F5060,辅助信息!A:B,2,FALSE)</f>
        <v>螺纹钢</v>
      </c>
      <c r="F5060" s="40" t="s">
        <v>32</v>
      </c>
      <c r="G5060" s="36">
        <v>35</v>
      </c>
      <c r="H5060" s="134">
        <f>IF(SUMIFS('[1]2025年已发货'!$E:$E,'[1]2025年已发货'!$F:$F,C5060,'[1]2025年已发货'!$C:$C,F5060,'[1]2025年已发货'!$G:$G,I5060,'[1]2025年已发货'!$H:$H,J5060)=0,"未发货",SUMIFS('[1]2025年已发货'!$E:$E,'[1]2025年已发货'!$F:$F,C5060,'[1]2025年已发货'!$C:$C,F5060,'[1]2025年已发货'!$G:$G,I5060,'[1]2025年已发货'!$H:$H,J5060))</f>
        <v>35</v>
      </c>
      <c r="I5060" s="39" t="str">
        <f>VLOOKUP(B5060,辅助信息!E:I,3,FALSE)</f>
        <v>(宜宾兴港三江新区长江工业园保障性租赁住房建设项目-土建)四川省宜宾市翠屏区永善路南段宜宾市三江新区长江工业园区</v>
      </c>
      <c r="J5060" s="40" t="str">
        <f>VLOOKUP(B5060,辅助信息!E:I,4,FALSE)</f>
        <v>赵元虎</v>
      </c>
      <c r="K5060" s="40">
        <f>VLOOKUP(J5060,辅助信息!H:I,2,FALSE)</f>
        <v>13684167136</v>
      </c>
      <c r="L5060" s="109" t="str">
        <f>VLOOKUP(B5060,辅助信息!E:J,6,FALSE)</f>
        <v>现场要求调度统一联系指定收货人，不单独发司机位置。锈货不收，装货前联系收货人核实到场规格,没提前告知进场规格现场不给予接收</v>
      </c>
      <c r="M5060" s="91">
        <v>45957</v>
      </c>
      <c r="O5060" s="62">
        <f ca="1" t="shared" si="240"/>
        <v>0</v>
      </c>
      <c r="P5060" s="62">
        <f ca="1" t="shared" si="241"/>
        <v>3</v>
      </c>
      <c r="Q5060" s="29" t="str">
        <f>VLOOKUP(B5060,辅助信息!E:M,9,FALSE)</f>
        <v>ZTWM-CDYXGS-XS-2025-0014-宜宾兴港建材-三江新区长江工业园片区保障性租赁住房建设项目</v>
      </c>
      <c r="R5060" s="29" t="str">
        <f>_xlfn._xlws.FILTER(辅助信息!D:D,辅助信息!E:E=B5060)</f>
        <v>宜宾兴港三江新区长江工业园建设项目</v>
      </c>
    </row>
    <row r="5061" hidden="1" spans="2:18">
      <c r="B5061" s="135" t="s">
        <v>194</v>
      </c>
      <c r="C5061" s="70">
        <v>45958</v>
      </c>
      <c r="D5061" s="40" t="str">
        <f>VLOOKUP(B5061,辅助信息!E:K,7,FALSE)</f>
        <v>JWDD2025071500089</v>
      </c>
      <c r="E5061" s="40" t="str">
        <f>VLOOKUP(F5061,辅助信息!A:B,2,FALSE)</f>
        <v>螺纹钢</v>
      </c>
      <c r="F5061" s="40" t="s">
        <v>33</v>
      </c>
      <c r="G5061" s="36">
        <v>5</v>
      </c>
      <c r="H5061" s="134">
        <f>IF(SUMIFS('[1]2025年已发货'!$E:$E,'[1]2025年已发货'!$F:$F,C5061,'[1]2025年已发货'!$C:$C,F5061,'[1]2025年已发货'!$G:$G,I5061,'[1]2025年已发货'!$H:$H,J5061)=0,"未发货",SUMIFS('[1]2025年已发货'!$E:$E,'[1]2025年已发货'!$F:$F,C5061,'[1]2025年已发货'!$C:$C,F5061,'[1]2025年已发货'!$G:$G,I5061,'[1]2025年已发货'!$H:$H,J5061))</f>
        <v>5</v>
      </c>
      <c r="I5061" s="39" t="str">
        <f>VLOOKUP(B5061,辅助信息!E:I,3,FALSE)</f>
        <v>(宜宾兴港三江新区长江工业园保障性租赁住房建设项目-土建)四川省宜宾市翠屏区永善路南段宜宾市三江新区长江工业园区</v>
      </c>
      <c r="J5061" s="40" t="str">
        <f>VLOOKUP(B5061,辅助信息!E:I,4,FALSE)</f>
        <v>赵元虎</v>
      </c>
      <c r="K5061" s="40">
        <f>VLOOKUP(J5061,辅助信息!H:I,2,FALSE)</f>
        <v>13684167136</v>
      </c>
      <c r="L5061" s="109" t="str">
        <f>VLOOKUP(B5061,辅助信息!E:J,6,FALSE)</f>
        <v>现场要求调度统一联系指定收货人，不单独发司机位置。锈货不收，装货前联系收货人核实到场规格,没提前告知进场规格现场不给予接收</v>
      </c>
      <c r="M5061" s="91">
        <v>45957</v>
      </c>
      <c r="O5061" s="62">
        <f ca="1" t="shared" si="240"/>
        <v>0</v>
      </c>
      <c r="P5061" s="62">
        <f ca="1" t="shared" si="241"/>
        <v>3</v>
      </c>
      <c r="Q5061" s="29" t="str">
        <f>VLOOKUP(B5061,辅助信息!E:M,9,FALSE)</f>
        <v>ZTWM-CDYXGS-XS-2025-0014-宜宾兴港建材-三江新区长江工业园片区保障性租赁住房建设项目</v>
      </c>
      <c r="R5061" s="29" t="str">
        <f>_xlfn._xlws.FILTER(辅助信息!D:D,辅助信息!E:E=B5061)</f>
        <v>宜宾兴港三江新区长江工业园建设项目</v>
      </c>
    </row>
    <row r="5062" hidden="1" spans="2:18">
      <c r="B5062" s="135" t="s">
        <v>194</v>
      </c>
      <c r="C5062" s="70">
        <v>45958</v>
      </c>
      <c r="D5062" s="40" t="str">
        <f>VLOOKUP(B5062,辅助信息!E:K,7,FALSE)</f>
        <v>JWDD2025071500089</v>
      </c>
      <c r="E5062" s="40" t="str">
        <f>VLOOKUP(F5062,辅助信息!A:B,2,FALSE)</f>
        <v>螺纹钢</v>
      </c>
      <c r="F5062" s="40" t="s">
        <v>28</v>
      </c>
      <c r="G5062" s="36">
        <v>10</v>
      </c>
      <c r="H5062" s="134">
        <f>IF(SUMIFS('[1]2025年已发货'!$E:$E,'[1]2025年已发货'!$F:$F,C5062,'[1]2025年已发货'!$C:$C,F5062,'[1]2025年已发货'!$G:$G,I5062,'[1]2025年已发货'!$H:$H,J5062)=0,"未发货",SUMIFS('[1]2025年已发货'!$E:$E,'[1]2025年已发货'!$F:$F,C5062,'[1]2025年已发货'!$C:$C,F5062,'[1]2025年已发货'!$G:$G,I5062,'[1]2025年已发货'!$H:$H,J5062))</f>
        <v>10</v>
      </c>
      <c r="I5062" s="39" t="str">
        <f>VLOOKUP(B5062,辅助信息!E:I,3,FALSE)</f>
        <v>(宜宾兴港三江新区长江工业园保障性租赁住房建设项目-土建)四川省宜宾市翠屏区永善路南段宜宾市三江新区长江工业园区</v>
      </c>
      <c r="J5062" s="40" t="str">
        <f>VLOOKUP(B5062,辅助信息!E:I,4,FALSE)</f>
        <v>赵元虎</v>
      </c>
      <c r="K5062" s="40">
        <f>VLOOKUP(J5062,辅助信息!H:I,2,FALSE)</f>
        <v>13684167136</v>
      </c>
      <c r="L5062" s="109" t="str">
        <f>VLOOKUP(B5062,辅助信息!E:J,6,FALSE)</f>
        <v>现场要求调度统一联系指定收货人，不单独发司机位置。锈货不收，装货前联系收货人核实到场规格,没提前告知进场规格现场不给予接收</v>
      </c>
      <c r="M5062" s="91">
        <v>45957</v>
      </c>
      <c r="O5062" s="62">
        <f ca="1" t="shared" si="240"/>
        <v>0</v>
      </c>
      <c r="P5062" s="62">
        <f ca="1" t="shared" si="241"/>
        <v>3</v>
      </c>
      <c r="Q5062" s="29" t="str">
        <f>VLOOKUP(B5062,辅助信息!E:M,9,FALSE)</f>
        <v>ZTWM-CDYXGS-XS-2025-0014-宜宾兴港建材-三江新区长江工业园片区保障性租赁住房建设项目</v>
      </c>
      <c r="R5062" s="29" t="str">
        <f>_xlfn._xlws.FILTER(辅助信息!D:D,辅助信息!E:E=B5062)</f>
        <v>宜宾兴港三江新区长江工业园建设项目</v>
      </c>
    </row>
    <row r="5063" hidden="1" spans="2:18">
      <c r="B5063" s="135" t="s">
        <v>194</v>
      </c>
      <c r="C5063" s="70">
        <v>45958</v>
      </c>
      <c r="D5063" s="40" t="str">
        <f>VLOOKUP(B5063,辅助信息!E:K,7,FALSE)</f>
        <v>JWDD2025071500089</v>
      </c>
      <c r="E5063" s="40" t="str">
        <f>VLOOKUP(F5063,辅助信息!A:B,2,FALSE)</f>
        <v>螺纹钢</v>
      </c>
      <c r="F5063" s="40" t="s">
        <v>18</v>
      </c>
      <c r="G5063" s="36">
        <v>10</v>
      </c>
      <c r="H5063" s="134">
        <f>IF(SUMIFS('[1]2025年已发货'!$E:$E,'[1]2025年已发货'!$F:$F,C5063,'[1]2025年已发货'!$C:$C,F5063,'[1]2025年已发货'!$G:$G,I5063,'[1]2025年已发货'!$H:$H,J5063)=0,"未发货",SUMIFS('[1]2025年已发货'!$E:$E,'[1]2025年已发货'!$F:$F,C5063,'[1]2025年已发货'!$C:$C,F5063,'[1]2025年已发货'!$G:$G,I5063,'[1]2025年已发货'!$H:$H,J5063))</f>
        <v>10</v>
      </c>
      <c r="I5063" s="39" t="str">
        <f>VLOOKUP(B5063,辅助信息!E:I,3,FALSE)</f>
        <v>(宜宾兴港三江新区长江工业园保障性租赁住房建设项目-土建)四川省宜宾市翠屏区永善路南段宜宾市三江新区长江工业园区</v>
      </c>
      <c r="J5063" s="40" t="str">
        <f>VLOOKUP(B5063,辅助信息!E:I,4,FALSE)</f>
        <v>赵元虎</v>
      </c>
      <c r="K5063" s="40">
        <f>VLOOKUP(J5063,辅助信息!H:I,2,FALSE)</f>
        <v>13684167136</v>
      </c>
      <c r="L5063" s="109" t="str">
        <f>VLOOKUP(B5063,辅助信息!E:J,6,FALSE)</f>
        <v>现场要求调度统一联系指定收货人，不单独发司机位置。锈货不收，装货前联系收货人核实到场规格,没提前告知进场规格现场不给予接收</v>
      </c>
      <c r="M5063" s="91">
        <v>45957</v>
      </c>
      <c r="O5063" s="62">
        <f ca="1" t="shared" si="240"/>
        <v>0</v>
      </c>
      <c r="P5063" s="62">
        <f ca="1" t="shared" si="241"/>
        <v>3</v>
      </c>
      <c r="Q5063" s="29" t="str">
        <f>VLOOKUP(B5063,辅助信息!E:M,9,FALSE)</f>
        <v>ZTWM-CDYXGS-XS-2025-0014-宜宾兴港建材-三江新区长江工业园片区保障性租赁住房建设项目</v>
      </c>
      <c r="R5063" s="29" t="str">
        <f>_xlfn._xlws.FILTER(辅助信息!D:D,辅助信息!E:E=B5063)</f>
        <v>宜宾兴港三江新区长江工业园建设项目</v>
      </c>
    </row>
    <row r="5064" hidden="1" spans="2:18">
      <c r="B5064" s="135" t="s">
        <v>231</v>
      </c>
      <c r="C5064" s="70">
        <v>45959</v>
      </c>
      <c r="D5064" s="40" t="str">
        <f>VLOOKUP(B5064,辅助信息!E:K,7,FALSE)</f>
        <v>JWDDCD2025102100481</v>
      </c>
      <c r="E5064" s="40" t="str">
        <f>VLOOKUP(F5064,辅助信息!A:B,2,FALSE)</f>
        <v>盘螺</v>
      </c>
      <c r="F5064" s="40" t="s">
        <v>26</v>
      </c>
      <c r="G5064" s="36">
        <v>4</v>
      </c>
      <c r="H5064" s="134">
        <f>IF(SUMIFS('[1]2025年已发货'!$E:$E,'[1]2025年已发货'!$F:$F,C5064,'[1]2025年已发货'!$C:$C,F5064,'[1]2025年已发货'!$G:$G,I5064,'[1]2025年已发货'!$H:$H,J5064)=0,"未发货",SUMIFS('[1]2025年已发货'!$E:$E,'[1]2025年已发货'!$F:$F,C5064,'[1]2025年已发货'!$C:$C,F5064,'[1]2025年已发货'!$G:$G,I5064,'[1]2025年已发货'!$H:$H,J5064))</f>
        <v>4</v>
      </c>
      <c r="I5064" s="39" t="str">
        <f>VLOOKUP(B5064,辅助信息!E:I,3,FALSE)</f>
        <v>(五冶建设成都盐道街中学初中部改扩建工程-一标)四川省成都市锦江区春熙路街道盐道街4号（盐道街中学初中部）</v>
      </c>
      <c r="J5064" s="40" t="str">
        <f>VLOOKUP(B5064,辅助信息!E:I,4,FALSE)</f>
        <v>谢鑫</v>
      </c>
      <c r="K5064" s="40">
        <f>VLOOKUP(J5064,辅助信息!H:I,2,FALSE)</f>
        <v>18228465067</v>
      </c>
      <c r="L5064" s="109" t="str">
        <f>VLOOKUP(B5064,辅助信息!E:J,6,FALSE)</f>
        <v>联系实际收货人（易前刚18228465067）五冶建设送货单,6份材质书,锈货不收，装货前联系收货人核实到场规格,没提前告知进场规格现场不给予接收</v>
      </c>
      <c r="M5064" s="91">
        <v>45957</v>
      </c>
      <c r="O5064" s="62">
        <f ca="1" t="shared" si="240"/>
        <v>0</v>
      </c>
      <c r="P5064" s="62">
        <f ca="1" t="shared" si="241"/>
        <v>3</v>
      </c>
      <c r="Q5064" s="29" t="str">
        <f>VLOOKUP(B5064,辅助信息!E:M,9,FALSE)</f>
        <v>ZTWM-CDGS-XS-2025-0073-五冶天府-成都怡心湖片区及龙泉驿医院等项目</v>
      </c>
      <c r="R5064" s="29" t="str">
        <f>_xlfn._xlws.FILTER(辅助信息!D:D,辅助信息!E:E=B5064)</f>
        <v>五冶建设成都盐道街中学初中部改扩建工程</v>
      </c>
    </row>
    <row r="5065" hidden="1" spans="2:18">
      <c r="B5065" s="135" t="s">
        <v>231</v>
      </c>
      <c r="C5065" s="70">
        <v>45959</v>
      </c>
      <c r="D5065" s="40" t="str">
        <f>VLOOKUP(B5065,辅助信息!E:K,7,FALSE)</f>
        <v>JWDDCD2025102100481</v>
      </c>
      <c r="E5065" s="40" t="str">
        <f>VLOOKUP(F5065,辅助信息!A:B,2,FALSE)</f>
        <v>螺纹钢</v>
      </c>
      <c r="F5065" s="40" t="s">
        <v>19</v>
      </c>
      <c r="G5065" s="36">
        <v>10</v>
      </c>
      <c r="H5065" s="134">
        <f>IF(SUMIFS('[1]2025年已发货'!$E:$E,'[1]2025年已发货'!$F:$F,C5065,'[1]2025年已发货'!$C:$C,F5065,'[1]2025年已发货'!$G:$G,I5065,'[1]2025年已发货'!$H:$H,J5065)=0,"未发货",SUMIFS('[1]2025年已发货'!$E:$E,'[1]2025年已发货'!$F:$F,C5065,'[1]2025年已发货'!$C:$C,F5065,'[1]2025年已发货'!$G:$G,I5065,'[1]2025年已发货'!$H:$H,J5065))</f>
        <v>10</v>
      </c>
      <c r="I5065" s="39" t="str">
        <f>VLOOKUP(B5065,辅助信息!E:I,3,FALSE)</f>
        <v>(五冶建设成都盐道街中学初中部改扩建工程-一标)四川省成都市锦江区春熙路街道盐道街4号（盐道街中学初中部）</v>
      </c>
      <c r="J5065" s="40" t="str">
        <f>VLOOKUP(B5065,辅助信息!E:I,4,FALSE)</f>
        <v>谢鑫</v>
      </c>
      <c r="K5065" s="40">
        <f>VLOOKUP(J5065,辅助信息!H:I,2,FALSE)</f>
        <v>18228465067</v>
      </c>
      <c r="L5065" s="109" t="str">
        <f>VLOOKUP(B5065,辅助信息!E:J,6,FALSE)</f>
        <v>联系实际收货人（易前刚18228465067）五冶建设送货单,6份材质书,锈货不收，装货前联系收货人核实到场规格,没提前告知进场规格现场不给予接收</v>
      </c>
      <c r="M5065" s="91">
        <v>45957</v>
      </c>
      <c r="O5065" s="62">
        <f ca="1" t="shared" si="240"/>
        <v>0</v>
      </c>
      <c r="P5065" s="62">
        <f ca="1" t="shared" si="241"/>
        <v>3</v>
      </c>
      <c r="Q5065" s="29" t="str">
        <f>VLOOKUP(B5065,辅助信息!E:M,9,FALSE)</f>
        <v>ZTWM-CDGS-XS-2025-0073-五冶天府-成都怡心湖片区及龙泉驿医院等项目</v>
      </c>
      <c r="R5065" s="29" t="str">
        <f>_xlfn._xlws.FILTER(辅助信息!D:D,辅助信息!E:E=B5065)</f>
        <v>五冶建设成都盐道街中学初中部改扩建工程</v>
      </c>
    </row>
    <row r="5066" hidden="1" spans="2:18">
      <c r="B5066" s="135" t="s">
        <v>231</v>
      </c>
      <c r="C5066" s="70">
        <v>45959</v>
      </c>
      <c r="D5066" s="40" t="str">
        <f>VLOOKUP(B5066,辅助信息!E:K,7,FALSE)</f>
        <v>JWDDCD2025102100481</v>
      </c>
      <c r="E5066" s="40" t="str">
        <f>VLOOKUP(F5066,辅助信息!A:B,2,FALSE)</f>
        <v>螺纹钢</v>
      </c>
      <c r="F5066" s="40" t="s">
        <v>32</v>
      </c>
      <c r="G5066" s="36">
        <v>2.5</v>
      </c>
      <c r="H5066" s="134">
        <f>IF(SUMIFS('[1]2025年已发货'!$E:$E,'[1]2025年已发货'!$F:$F,C5066,'[1]2025年已发货'!$C:$C,F5066,'[1]2025年已发货'!$G:$G,I5066,'[1]2025年已发货'!$H:$H,J5066)=0,"未发货",SUMIFS('[1]2025年已发货'!$E:$E,'[1]2025年已发货'!$F:$F,C5066,'[1]2025年已发货'!$C:$C,F5066,'[1]2025年已发货'!$G:$G,I5066,'[1]2025年已发货'!$H:$H,J5066))</f>
        <v>2.5</v>
      </c>
      <c r="I5066" s="39" t="str">
        <f>VLOOKUP(B5066,辅助信息!E:I,3,FALSE)</f>
        <v>(五冶建设成都盐道街中学初中部改扩建工程-一标)四川省成都市锦江区春熙路街道盐道街4号（盐道街中学初中部）</v>
      </c>
      <c r="J5066" s="40" t="str">
        <f>VLOOKUP(B5066,辅助信息!E:I,4,FALSE)</f>
        <v>谢鑫</v>
      </c>
      <c r="K5066" s="40">
        <f>VLOOKUP(J5066,辅助信息!H:I,2,FALSE)</f>
        <v>18228465067</v>
      </c>
      <c r="L5066" s="109" t="str">
        <f>VLOOKUP(B5066,辅助信息!E:J,6,FALSE)</f>
        <v>联系实际收货人（易前刚18228465067）五冶建设送货单,6份材质书,锈货不收，装货前联系收货人核实到场规格,没提前告知进场规格现场不给予接收</v>
      </c>
      <c r="M5066" s="91">
        <v>45957</v>
      </c>
      <c r="O5066" s="62">
        <f ca="1" t="shared" si="240"/>
        <v>0</v>
      </c>
      <c r="P5066" s="62">
        <f ca="1" t="shared" si="241"/>
        <v>3</v>
      </c>
      <c r="Q5066" s="29" t="str">
        <f>VLOOKUP(B5066,辅助信息!E:M,9,FALSE)</f>
        <v>ZTWM-CDGS-XS-2025-0073-五冶天府-成都怡心湖片区及龙泉驿医院等项目</v>
      </c>
      <c r="R5066" s="29" t="str">
        <f>_xlfn._xlws.FILTER(辅助信息!D:D,辅助信息!E:E=B5066)</f>
        <v>五冶建设成都盐道街中学初中部改扩建工程</v>
      </c>
    </row>
    <row r="5067" hidden="1" spans="2:18">
      <c r="B5067" s="135" t="s">
        <v>231</v>
      </c>
      <c r="C5067" s="70">
        <v>45959</v>
      </c>
      <c r="D5067" s="40" t="str">
        <f>VLOOKUP(B5067,辅助信息!E:K,7,FALSE)</f>
        <v>JWDDCD2025102100481</v>
      </c>
      <c r="E5067" s="40" t="str">
        <f>VLOOKUP(F5067,辅助信息!A:B,2,FALSE)</f>
        <v>螺纹钢</v>
      </c>
      <c r="F5067" s="40" t="s">
        <v>33</v>
      </c>
      <c r="G5067" s="36">
        <v>10</v>
      </c>
      <c r="H5067" s="134">
        <f>IF(SUMIFS('[1]2025年已发货'!$E:$E,'[1]2025年已发货'!$F:$F,C5067,'[1]2025年已发货'!$C:$C,F5067,'[1]2025年已发货'!$G:$G,I5067,'[1]2025年已发货'!$H:$H,J5067)=0,"未发货",SUMIFS('[1]2025年已发货'!$E:$E,'[1]2025年已发货'!$F:$F,C5067,'[1]2025年已发货'!$C:$C,F5067,'[1]2025年已发货'!$G:$G,I5067,'[1]2025年已发货'!$H:$H,J5067))</f>
        <v>10</v>
      </c>
      <c r="I5067" s="39" t="str">
        <f>VLOOKUP(B5067,辅助信息!E:I,3,FALSE)</f>
        <v>(五冶建设成都盐道街中学初中部改扩建工程-一标)四川省成都市锦江区春熙路街道盐道街4号（盐道街中学初中部）</v>
      </c>
      <c r="J5067" s="40" t="str">
        <f>VLOOKUP(B5067,辅助信息!E:I,4,FALSE)</f>
        <v>谢鑫</v>
      </c>
      <c r="K5067" s="40">
        <f>VLOOKUP(J5067,辅助信息!H:I,2,FALSE)</f>
        <v>18228465067</v>
      </c>
      <c r="L5067" s="109" t="str">
        <f>VLOOKUP(B5067,辅助信息!E:J,6,FALSE)</f>
        <v>联系实际收货人（易前刚18228465067）五冶建设送货单,6份材质书,锈货不收，装货前联系收货人核实到场规格,没提前告知进场规格现场不给予接收</v>
      </c>
      <c r="M5067" s="91">
        <v>45957</v>
      </c>
      <c r="O5067" s="62">
        <f ca="1" t="shared" si="240"/>
        <v>0</v>
      </c>
      <c r="P5067" s="62">
        <f ca="1" t="shared" si="241"/>
        <v>3</v>
      </c>
      <c r="Q5067" s="29" t="str">
        <f>VLOOKUP(B5067,辅助信息!E:M,9,FALSE)</f>
        <v>ZTWM-CDGS-XS-2025-0073-五冶天府-成都怡心湖片区及龙泉驿医院等项目</v>
      </c>
      <c r="R5067" s="29" t="str">
        <f>_xlfn._xlws.FILTER(辅助信息!D:D,辅助信息!E:E=B5067)</f>
        <v>五冶建设成都盐道街中学初中部改扩建工程</v>
      </c>
    </row>
    <row r="5068" hidden="1" spans="2:18">
      <c r="B5068" s="135" t="s">
        <v>231</v>
      </c>
      <c r="C5068" s="70">
        <v>45959</v>
      </c>
      <c r="D5068" s="40" t="str">
        <f>VLOOKUP(B5068,辅助信息!E:K,7,FALSE)</f>
        <v>JWDDCD2025102100481</v>
      </c>
      <c r="E5068" s="40" t="str">
        <f>VLOOKUP(F5068,辅助信息!A:B,2,FALSE)</f>
        <v>螺纹钢</v>
      </c>
      <c r="F5068" s="40" t="s">
        <v>28</v>
      </c>
      <c r="G5068" s="36">
        <v>5</v>
      </c>
      <c r="H5068" s="134">
        <f>IF(SUMIFS('[1]2025年已发货'!$E:$E,'[1]2025年已发货'!$F:$F,C5068,'[1]2025年已发货'!$C:$C,F5068,'[1]2025年已发货'!$G:$G,I5068,'[1]2025年已发货'!$H:$H,J5068)=0,"未发货",SUMIFS('[1]2025年已发货'!$E:$E,'[1]2025年已发货'!$F:$F,C5068,'[1]2025年已发货'!$C:$C,F5068,'[1]2025年已发货'!$G:$G,I5068,'[1]2025年已发货'!$H:$H,J5068))</f>
        <v>5</v>
      </c>
      <c r="I5068" s="39" t="str">
        <f>VLOOKUP(B5068,辅助信息!E:I,3,FALSE)</f>
        <v>(五冶建设成都盐道街中学初中部改扩建工程-一标)四川省成都市锦江区春熙路街道盐道街4号（盐道街中学初中部）</v>
      </c>
      <c r="J5068" s="40" t="str">
        <f>VLOOKUP(B5068,辅助信息!E:I,4,FALSE)</f>
        <v>谢鑫</v>
      </c>
      <c r="K5068" s="40">
        <f>VLOOKUP(J5068,辅助信息!H:I,2,FALSE)</f>
        <v>18228465067</v>
      </c>
      <c r="L5068" s="109" t="str">
        <f>VLOOKUP(B5068,辅助信息!E:J,6,FALSE)</f>
        <v>联系实际收货人（易前刚18228465067）五冶建设送货单,6份材质书,锈货不收，装货前联系收货人核实到场规格,没提前告知进场规格现场不给予接收</v>
      </c>
      <c r="M5068" s="91">
        <v>45957</v>
      </c>
      <c r="O5068" s="62">
        <f ca="1" t="shared" si="240"/>
        <v>0</v>
      </c>
      <c r="P5068" s="62">
        <f ca="1" t="shared" si="241"/>
        <v>3</v>
      </c>
      <c r="Q5068" s="29" t="str">
        <f>VLOOKUP(B5068,辅助信息!E:M,9,FALSE)</f>
        <v>ZTWM-CDGS-XS-2025-0073-五冶天府-成都怡心湖片区及龙泉驿医院等项目</v>
      </c>
      <c r="R5068" s="29" t="str">
        <f>_xlfn._xlws.FILTER(辅助信息!D:D,辅助信息!E:E=B5068)</f>
        <v>五冶建设成都盐道街中学初中部改扩建工程</v>
      </c>
    </row>
    <row r="5069" hidden="1" spans="2:18">
      <c r="B5069" s="135" t="s">
        <v>231</v>
      </c>
      <c r="C5069" s="70">
        <v>45959</v>
      </c>
      <c r="D5069" s="40" t="str">
        <f>VLOOKUP(B5069,辅助信息!E:K,7,FALSE)</f>
        <v>JWDDCD2025102100481</v>
      </c>
      <c r="E5069" s="40" t="str">
        <f>VLOOKUP(F5069,辅助信息!A:B,2,FALSE)</f>
        <v>螺纹钢</v>
      </c>
      <c r="F5069" s="40" t="s">
        <v>18</v>
      </c>
      <c r="G5069" s="36">
        <v>5</v>
      </c>
      <c r="H5069" s="134">
        <f>IF(SUMIFS('[1]2025年已发货'!$E:$E,'[1]2025年已发货'!$F:$F,C5069,'[1]2025年已发货'!$C:$C,F5069,'[1]2025年已发货'!$G:$G,I5069,'[1]2025年已发货'!$H:$H,J5069)=0,"未发货",SUMIFS('[1]2025年已发货'!$E:$E,'[1]2025年已发货'!$F:$F,C5069,'[1]2025年已发货'!$C:$C,F5069,'[1]2025年已发货'!$G:$G,I5069,'[1]2025年已发货'!$H:$H,J5069))</f>
        <v>5</v>
      </c>
      <c r="I5069" s="39" t="str">
        <f>VLOOKUP(B5069,辅助信息!E:I,3,FALSE)</f>
        <v>(五冶建设成都盐道街中学初中部改扩建工程-一标)四川省成都市锦江区春熙路街道盐道街4号（盐道街中学初中部）</v>
      </c>
      <c r="J5069" s="40" t="str">
        <f>VLOOKUP(B5069,辅助信息!E:I,4,FALSE)</f>
        <v>谢鑫</v>
      </c>
      <c r="K5069" s="40">
        <f>VLOOKUP(J5069,辅助信息!H:I,2,FALSE)</f>
        <v>18228465067</v>
      </c>
      <c r="L5069" s="109" t="str">
        <f>VLOOKUP(B5069,辅助信息!E:J,6,FALSE)</f>
        <v>联系实际收货人（易前刚18228465067）五冶建设送货单,6份材质书,锈货不收，装货前联系收货人核实到场规格,没提前告知进场规格现场不给予接收</v>
      </c>
      <c r="M5069" s="91">
        <v>45957</v>
      </c>
      <c r="O5069" s="62">
        <f ca="1" t="shared" si="240"/>
        <v>0</v>
      </c>
      <c r="P5069" s="62">
        <f ca="1" t="shared" si="241"/>
        <v>3</v>
      </c>
      <c r="Q5069" s="29" t="str">
        <f>VLOOKUP(B5069,辅助信息!E:M,9,FALSE)</f>
        <v>ZTWM-CDGS-XS-2025-0073-五冶天府-成都怡心湖片区及龙泉驿医院等项目</v>
      </c>
      <c r="R5069" s="29" t="str">
        <f>_xlfn._xlws.FILTER(辅助信息!D:D,辅助信息!E:E=B5069)</f>
        <v>五冶建设成都盐道街中学初中部改扩建工程</v>
      </c>
    </row>
    <row r="5070" spans="2:18">
      <c r="B5070" s="135" t="s">
        <v>81</v>
      </c>
      <c r="C5070" s="70">
        <v>45960</v>
      </c>
      <c r="D5070" s="40" t="str">
        <f>VLOOKUP(B5070,辅助信息!E:K,7,FALSE)</f>
        <v>JWDDCD2025060900080</v>
      </c>
      <c r="E5070" s="40" t="str">
        <f>VLOOKUP(F5070,辅助信息!A:B,2,FALSE)</f>
        <v>盘螺</v>
      </c>
      <c r="F5070" s="40" t="s">
        <v>49</v>
      </c>
      <c r="G5070" s="36">
        <v>8</v>
      </c>
      <c r="H5070" s="134" t="str">
        <f>IF(SUMIFS('[1]2025年已发货'!$E:$E,'[1]2025年已发货'!$F:$F,C5070,'[1]2025年已发货'!$C:$C,F5070,'[1]2025年已发货'!$G:$G,I5070,'[1]2025年已发货'!$H:$H,J5070)=0,"未发货",SUMIFS('[1]2025年已发货'!$E:$E,'[1]2025年已发货'!$F:$F,C5070,'[1]2025年已发货'!$C:$C,F5070,'[1]2025年已发货'!$G:$G,I5070,'[1]2025年已发货'!$H:$H,J5070))</f>
        <v>未发货</v>
      </c>
      <c r="I5070" s="39" t="str">
        <f>VLOOKUP(B5070,辅助信息!E:I,3,FALSE)</f>
        <v>（华西简阳西城嘉苑）四川省成都市简阳市简城街道高屋村</v>
      </c>
      <c r="J5070" s="40" t="str">
        <f>VLOOKUP(B5070,辅助信息!E:I,4,FALSE)</f>
        <v>张瀚镭</v>
      </c>
      <c r="K5070" s="40">
        <f>VLOOKUP(J5070,辅助信息!H:I,2,FALSE)</f>
        <v>15884666220</v>
      </c>
      <c r="L5070" s="109" t="str">
        <f>VLOOKUP(B5070,辅助信息!E:J,6,FALSE)</f>
        <v>现场禁止使用氢能源挂车！优先威钢发货,我方卸车,新老国标钢厂不加价可直发，因陕钢多次出现磅差，项目拒绝使用</v>
      </c>
      <c r="M5070" s="91">
        <v>45959</v>
      </c>
      <c r="O5070" s="62">
        <f ca="1" t="shared" si="240"/>
        <v>0</v>
      </c>
      <c r="P5070" s="62">
        <f ca="1" t="shared" si="241"/>
        <v>1</v>
      </c>
      <c r="Q5070" s="29" t="str">
        <f>VLOOKUP(B5070,辅助信息!E:M,9,FALSE)</f>
        <v>ZTWM-CDGS-XS-2024-0030-华西集采-简州大道</v>
      </c>
      <c r="R5070" s="29" t="str">
        <f>_xlfn._xlws.FILTER(辅助信息!D:D,辅助信息!E:E=B5070)</f>
        <v>华西简阳西城嘉苑</v>
      </c>
    </row>
    <row r="5071" spans="2:18">
      <c r="B5071" s="135" t="s">
        <v>81</v>
      </c>
      <c r="C5071" s="70">
        <v>45960</v>
      </c>
      <c r="D5071" s="40" t="str">
        <f>VLOOKUP(B5071,辅助信息!E:K,7,FALSE)</f>
        <v>JWDDCD2025060900080</v>
      </c>
      <c r="E5071" s="40" t="str">
        <f>VLOOKUP(F5071,辅助信息!A:B,2,FALSE)</f>
        <v>盘螺</v>
      </c>
      <c r="F5071" s="40" t="s">
        <v>41</v>
      </c>
      <c r="G5071" s="36">
        <v>12</v>
      </c>
      <c r="H5071" s="134" t="str">
        <f>IF(SUMIFS('[1]2025年已发货'!$E:$E,'[1]2025年已发货'!$F:$F,C5071,'[1]2025年已发货'!$C:$C,F5071,'[1]2025年已发货'!$G:$G,I5071,'[1]2025年已发货'!$H:$H,J5071)=0,"未发货",SUMIFS('[1]2025年已发货'!$E:$E,'[1]2025年已发货'!$F:$F,C5071,'[1]2025年已发货'!$C:$C,F5071,'[1]2025年已发货'!$G:$G,I5071,'[1]2025年已发货'!$H:$H,J5071))</f>
        <v>未发货</v>
      </c>
      <c r="I5071" s="39" t="str">
        <f>VLOOKUP(B5071,辅助信息!E:I,3,FALSE)</f>
        <v>（华西简阳西城嘉苑）四川省成都市简阳市简城街道高屋村</v>
      </c>
      <c r="J5071" s="40" t="str">
        <f>VLOOKUP(B5071,辅助信息!E:I,4,FALSE)</f>
        <v>张瀚镭</v>
      </c>
      <c r="K5071" s="40">
        <f>VLOOKUP(J5071,辅助信息!H:I,2,FALSE)</f>
        <v>15884666220</v>
      </c>
      <c r="L5071" s="109" t="str">
        <f>VLOOKUP(B5071,辅助信息!E:J,6,FALSE)</f>
        <v>现场禁止使用氢能源挂车！优先威钢发货,我方卸车,新老国标钢厂不加价可直发，因陕钢多次出现磅差，项目拒绝使用</v>
      </c>
      <c r="M5071" s="91">
        <v>45959</v>
      </c>
      <c r="O5071" s="62">
        <f ca="1" t="shared" si="240"/>
        <v>0</v>
      </c>
      <c r="P5071" s="62">
        <f ca="1" t="shared" si="241"/>
        <v>1</v>
      </c>
      <c r="Q5071" s="29" t="str">
        <f>VLOOKUP(B5071,辅助信息!E:M,9,FALSE)</f>
        <v>ZTWM-CDGS-XS-2024-0030-华西集采-简州大道</v>
      </c>
      <c r="R5071" s="29" t="str">
        <f>_xlfn._xlws.FILTER(辅助信息!D:D,辅助信息!E:E=B5071)</f>
        <v>华西简阳西城嘉苑</v>
      </c>
    </row>
    <row r="5072" spans="2:18">
      <c r="B5072" s="135" t="s">
        <v>81</v>
      </c>
      <c r="C5072" s="70">
        <v>45960</v>
      </c>
      <c r="D5072" s="40" t="str">
        <f>VLOOKUP(B5072,辅助信息!E:K,7,FALSE)</f>
        <v>JWDDCD2025060900080</v>
      </c>
      <c r="E5072" s="40" t="str">
        <f>VLOOKUP(F5072,辅助信息!A:B,2,FALSE)</f>
        <v>盘螺</v>
      </c>
      <c r="F5072" s="40" t="s">
        <v>26</v>
      </c>
      <c r="G5072" s="36">
        <v>15</v>
      </c>
      <c r="H5072" s="134" t="str">
        <f>IF(SUMIFS('[1]2025年已发货'!$E:$E,'[1]2025年已发货'!$F:$F,C5072,'[1]2025年已发货'!$C:$C,F5072,'[1]2025年已发货'!$G:$G,I5072,'[1]2025年已发货'!$H:$H,J5072)=0,"未发货",SUMIFS('[1]2025年已发货'!$E:$E,'[1]2025年已发货'!$F:$F,C5072,'[1]2025年已发货'!$C:$C,F5072,'[1]2025年已发货'!$G:$G,I5072,'[1]2025年已发货'!$H:$H,J5072))</f>
        <v>未发货</v>
      </c>
      <c r="I5072" s="39" t="str">
        <f>VLOOKUP(B5072,辅助信息!E:I,3,FALSE)</f>
        <v>（华西简阳西城嘉苑）四川省成都市简阳市简城街道高屋村</v>
      </c>
      <c r="J5072" s="40" t="str">
        <f>VLOOKUP(B5072,辅助信息!E:I,4,FALSE)</f>
        <v>张瀚镭</v>
      </c>
      <c r="K5072" s="40">
        <f>VLOOKUP(J5072,辅助信息!H:I,2,FALSE)</f>
        <v>15884666220</v>
      </c>
      <c r="L5072" s="109" t="str">
        <f>VLOOKUP(B5072,辅助信息!E:J,6,FALSE)</f>
        <v>现场禁止使用氢能源挂车！优先威钢发货,我方卸车,新老国标钢厂不加价可直发，因陕钢多次出现磅差，项目拒绝使用</v>
      </c>
      <c r="M5072" s="91">
        <v>45959</v>
      </c>
      <c r="O5072" s="62">
        <f ca="1" t="shared" si="240"/>
        <v>0</v>
      </c>
      <c r="P5072" s="62">
        <f ca="1" t="shared" si="241"/>
        <v>1</v>
      </c>
      <c r="Q5072" s="29" t="str">
        <f>VLOOKUP(B5072,辅助信息!E:M,9,FALSE)</f>
        <v>ZTWM-CDGS-XS-2024-0030-华西集采-简州大道</v>
      </c>
      <c r="R5072" s="29" t="str">
        <f>_xlfn._xlws.FILTER(辅助信息!D:D,辅助信息!E:E=B5072)</f>
        <v>华西简阳西城嘉苑</v>
      </c>
    </row>
    <row r="5073" hidden="1" spans="2:18">
      <c r="B5073" s="135" t="s">
        <v>240</v>
      </c>
      <c r="C5073" s="70">
        <v>45959</v>
      </c>
      <c r="D5073" s="40" t="str">
        <f>VLOOKUP(B5073,辅助信息!E:K,7,FALSE)</f>
        <v>JWDDCD2025092400204</v>
      </c>
      <c r="E5073" s="40" t="str">
        <f>VLOOKUP(F5073,辅助信息!A:B,2,FALSE)</f>
        <v>高线</v>
      </c>
      <c r="F5073" s="40" t="s">
        <v>53</v>
      </c>
      <c r="G5073" s="36">
        <v>2.5</v>
      </c>
      <c r="H5073" s="134" t="str">
        <f>IF(SUMIFS('[1]2025年已发货'!$E:$E,'[1]2025年已发货'!$F:$F,C5073,'[1]2025年已发货'!$C:$C,F5073,'[1]2025年已发货'!$G:$G,I5073,'[1]2025年已发货'!$H:$H,J5073)=0,"未发货",SUMIFS('[1]2025年已发货'!$E:$E,'[1]2025年已发货'!$F:$F,C5073,'[1]2025年已发货'!$C:$C,F5073,'[1]2025年已发货'!$G:$G,I5073,'[1]2025年已发货'!$H:$H,J5073))</f>
        <v>未发货</v>
      </c>
      <c r="I5073" s="39" t="str">
        <f>VLOOKUP(B5073,辅助信息!E:I,3,FALSE)</f>
        <v>(五冶钢构龙泉东洪片区70亩住宅、商业及配套工程项目三标段)成都市龙泉驿外东洪路地铁2号线惠王陵地铁C口</v>
      </c>
      <c r="J5073" s="40" t="str">
        <f>VLOOKUP(B5073,辅助信息!E:I,4,FALSE)</f>
        <v>蒋嗣伟</v>
      </c>
      <c r="K5073" s="40">
        <f>VLOOKUP(J5073,辅助信息!H:I,2,FALSE)</f>
        <v>15014331252</v>
      </c>
      <c r="L5073" s="109">
        <f>VLOOKUP(B5073,辅助信息!E:J,6,FALSE)</f>
        <v>0</v>
      </c>
      <c r="M5073" s="91">
        <v>45959</v>
      </c>
      <c r="O5073" s="62">
        <f ca="1" t="shared" si="240"/>
        <v>0</v>
      </c>
      <c r="P5073" s="62">
        <f ca="1" t="shared" si="241"/>
        <v>1</v>
      </c>
      <c r="Q5073" s="29" t="str">
        <f>VLOOKUP(B5073,辅助信息!E:M,9,FALSE)</f>
        <v>ZTWM-CDGS-XS-2025-0156-五冶钢构-2025年九月第一批次钢筋采购合同(三圣乡项目)-中铁物贸成都公司</v>
      </c>
      <c r="R5073" s="29" t="str">
        <f>_xlfn._xlws.FILTER(辅助信息!D:D,辅助信息!E:E=B5073)</f>
        <v>五冶钢构龙泉东洪片区(70亩、85亩)住宅、商业及配套工程项目</v>
      </c>
    </row>
    <row r="5074" spans="2:18">
      <c r="B5074" s="135" t="s">
        <v>240</v>
      </c>
      <c r="C5074" s="70">
        <v>45960</v>
      </c>
      <c r="D5074" s="40" t="str">
        <f>VLOOKUP(B5074,辅助信息!E:K,7,FALSE)</f>
        <v>JWDDCD2025092400204</v>
      </c>
      <c r="E5074" s="40" t="str">
        <f>VLOOKUP(F5074,辅助信息!A:B,2,FALSE)</f>
        <v>盘螺</v>
      </c>
      <c r="F5074" s="40" t="s">
        <v>41</v>
      </c>
      <c r="G5074" s="36">
        <v>15</v>
      </c>
      <c r="H5074" s="134">
        <f>IF(SUMIFS('[1]2025年已发货'!$E:$E,'[1]2025年已发货'!$F:$F,C5074,'[1]2025年已发货'!$C:$C,F5074,'[1]2025年已发货'!$G:$G,I5074,'[1]2025年已发货'!$H:$H,J5074)=0,"未发货",SUMIFS('[1]2025年已发货'!$E:$E,'[1]2025年已发货'!$F:$F,C5074,'[1]2025年已发货'!$C:$C,F5074,'[1]2025年已发货'!$G:$G,I5074,'[1]2025年已发货'!$H:$H,J5074))</f>
        <v>15</v>
      </c>
      <c r="I5074" s="39" t="str">
        <f>VLOOKUP(B5074,辅助信息!E:I,3,FALSE)</f>
        <v>(五冶钢构龙泉东洪片区70亩住宅、商业及配套工程项目三标段)成都市龙泉驿外东洪路地铁2号线惠王陵地铁C口</v>
      </c>
      <c r="J5074" s="40" t="str">
        <f>VLOOKUP(B5074,辅助信息!E:I,4,FALSE)</f>
        <v>蒋嗣伟</v>
      </c>
      <c r="K5074" s="40">
        <f>VLOOKUP(J5074,辅助信息!H:I,2,FALSE)</f>
        <v>15014331252</v>
      </c>
      <c r="L5074" s="109">
        <f>VLOOKUP(B5074,辅助信息!E:J,6,FALSE)</f>
        <v>0</v>
      </c>
      <c r="M5074" s="91">
        <v>45959</v>
      </c>
      <c r="O5074" s="62">
        <f ca="1" t="shared" si="240"/>
        <v>0</v>
      </c>
      <c r="P5074" s="62">
        <f ca="1" t="shared" si="241"/>
        <v>1</v>
      </c>
      <c r="Q5074" s="29" t="str">
        <f>VLOOKUP(B5074,辅助信息!E:M,9,FALSE)</f>
        <v>ZTWM-CDGS-XS-2025-0156-五冶钢构-2025年九月第一批次钢筋采购合同(三圣乡项目)-中铁物贸成都公司</v>
      </c>
      <c r="R5074" s="29" t="str">
        <f>_xlfn._xlws.FILTER(辅助信息!D:D,辅助信息!E:E=B5074)</f>
        <v>五冶钢构龙泉东洪片区(70亩、85亩)住宅、商业及配套工程项目</v>
      </c>
    </row>
    <row r="5075" spans="2:18">
      <c r="B5075" s="135" t="s">
        <v>240</v>
      </c>
      <c r="C5075" s="70">
        <v>45960</v>
      </c>
      <c r="D5075" s="40" t="str">
        <f>VLOOKUP(B5075,辅助信息!E:K,7,FALSE)</f>
        <v>JWDDCD2025092400204</v>
      </c>
      <c r="E5075" s="40" t="str">
        <f>VLOOKUP(F5075,辅助信息!A:B,2,FALSE)</f>
        <v>螺纹钢</v>
      </c>
      <c r="F5075" s="40" t="s">
        <v>19</v>
      </c>
      <c r="G5075" s="36">
        <v>10</v>
      </c>
      <c r="H5075" s="134">
        <f>IF(SUMIFS('[1]2025年已发货'!$E:$E,'[1]2025年已发货'!$F:$F,C5075,'[1]2025年已发货'!$C:$C,F5075,'[1]2025年已发货'!$G:$G,I5075,'[1]2025年已发货'!$H:$H,J5075)=0,"未发货",SUMIFS('[1]2025年已发货'!$E:$E,'[1]2025年已发货'!$F:$F,C5075,'[1]2025年已发货'!$C:$C,F5075,'[1]2025年已发货'!$G:$G,I5075,'[1]2025年已发货'!$H:$H,J5075))</f>
        <v>10</v>
      </c>
      <c r="I5075" s="39" t="str">
        <f>VLOOKUP(B5075,辅助信息!E:I,3,FALSE)</f>
        <v>(五冶钢构龙泉东洪片区70亩住宅、商业及配套工程项目三标段)成都市龙泉驿外东洪路地铁2号线惠王陵地铁C口</v>
      </c>
      <c r="J5075" s="40" t="str">
        <f>VLOOKUP(B5075,辅助信息!E:I,4,FALSE)</f>
        <v>蒋嗣伟</v>
      </c>
      <c r="K5075" s="40">
        <f>VLOOKUP(J5075,辅助信息!H:I,2,FALSE)</f>
        <v>15014331252</v>
      </c>
      <c r="L5075" s="109">
        <f>VLOOKUP(B5075,辅助信息!E:J,6,FALSE)</f>
        <v>0</v>
      </c>
      <c r="M5075" s="91">
        <v>45959</v>
      </c>
      <c r="O5075" s="62">
        <f ca="1" t="shared" si="240"/>
        <v>0</v>
      </c>
      <c r="P5075" s="62">
        <f ca="1" t="shared" si="241"/>
        <v>1</v>
      </c>
      <c r="Q5075" s="29" t="str">
        <f>VLOOKUP(B5075,辅助信息!E:M,9,FALSE)</f>
        <v>ZTWM-CDGS-XS-2025-0156-五冶钢构-2025年九月第一批次钢筋采购合同(三圣乡项目)-中铁物贸成都公司</v>
      </c>
      <c r="R5075" s="29" t="str">
        <f>_xlfn._xlws.FILTER(辅助信息!D:D,辅助信息!E:E=B5075)</f>
        <v>五冶钢构龙泉东洪片区(70亩、85亩)住宅、商业及配套工程项目</v>
      </c>
    </row>
    <row r="5076" spans="2:18">
      <c r="B5076" s="135" t="s">
        <v>240</v>
      </c>
      <c r="C5076" s="70">
        <v>45960</v>
      </c>
      <c r="D5076" s="40" t="str">
        <f>VLOOKUP(B5076,辅助信息!E:K,7,FALSE)</f>
        <v>JWDDCD2025092400204</v>
      </c>
      <c r="E5076" s="40" t="str">
        <f>VLOOKUP(F5076,辅助信息!A:B,2,FALSE)</f>
        <v>螺纹钢</v>
      </c>
      <c r="F5076" s="40" t="s">
        <v>32</v>
      </c>
      <c r="G5076" s="36">
        <v>60</v>
      </c>
      <c r="H5076" s="134">
        <f>IF(SUMIFS('[1]2025年已发货'!$E:$E,'[1]2025年已发货'!$F:$F,C5076,'[1]2025年已发货'!$C:$C,F5076,'[1]2025年已发货'!$G:$G,I5076,'[1]2025年已发货'!$H:$H,J5076)=0,"未发货",SUMIFS('[1]2025年已发货'!$E:$E,'[1]2025年已发货'!$F:$F,C5076,'[1]2025年已发货'!$C:$C,F5076,'[1]2025年已发货'!$G:$G,I5076,'[1]2025年已发货'!$H:$H,J5076))</f>
        <v>60</v>
      </c>
      <c r="I5076" s="39" t="str">
        <f>VLOOKUP(B5076,辅助信息!E:I,3,FALSE)</f>
        <v>(五冶钢构龙泉东洪片区70亩住宅、商业及配套工程项目三标段)成都市龙泉驿外东洪路地铁2号线惠王陵地铁C口</v>
      </c>
      <c r="J5076" s="40" t="str">
        <f>VLOOKUP(B5076,辅助信息!E:I,4,FALSE)</f>
        <v>蒋嗣伟</v>
      </c>
      <c r="K5076" s="40">
        <f>VLOOKUP(J5076,辅助信息!H:I,2,FALSE)</f>
        <v>15014331252</v>
      </c>
      <c r="L5076" s="109">
        <f>VLOOKUP(B5076,辅助信息!E:J,6,FALSE)</f>
        <v>0</v>
      </c>
      <c r="M5076" s="91">
        <v>45959</v>
      </c>
      <c r="O5076" s="62">
        <f ca="1" t="shared" si="240"/>
        <v>0</v>
      </c>
      <c r="P5076" s="62">
        <f ca="1" t="shared" si="241"/>
        <v>1</v>
      </c>
      <c r="Q5076" s="29" t="str">
        <f>VLOOKUP(B5076,辅助信息!E:M,9,FALSE)</f>
        <v>ZTWM-CDGS-XS-2025-0156-五冶钢构-2025年九月第一批次钢筋采购合同(三圣乡项目)-中铁物贸成都公司</v>
      </c>
      <c r="R5076" s="29" t="str">
        <f>_xlfn._xlws.FILTER(辅助信息!D:D,辅助信息!E:E=B5076)</f>
        <v>五冶钢构龙泉东洪片区(70亩、85亩)住宅、商业及配套工程项目</v>
      </c>
    </row>
    <row r="5077" spans="2:18">
      <c r="B5077" s="135" t="s">
        <v>240</v>
      </c>
      <c r="C5077" s="70">
        <v>45960</v>
      </c>
      <c r="D5077" s="40" t="str">
        <f>VLOOKUP(B5077,辅助信息!E:K,7,FALSE)</f>
        <v>JWDDCD2025092400204</v>
      </c>
      <c r="E5077" s="40" t="str">
        <f>VLOOKUP(F5077,辅助信息!A:B,2,FALSE)</f>
        <v>螺纹钢</v>
      </c>
      <c r="F5077" s="40" t="s">
        <v>33</v>
      </c>
      <c r="G5077" s="36">
        <v>6</v>
      </c>
      <c r="H5077" s="134">
        <f>IF(SUMIFS('[1]2025年已发货'!$E:$E,'[1]2025年已发货'!$F:$F,C5077,'[1]2025年已发货'!$C:$C,F5077,'[1]2025年已发货'!$G:$G,I5077,'[1]2025年已发货'!$H:$H,J5077)=0,"未发货",SUMIFS('[1]2025年已发货'!$E:$E,'[1]2025年已发货'!$F:$F,C5077,'[1]2025年已发货'!$C:$C,F5077,'[1]2025年已发货'!$G:$G,I5077,'[1]2025年已发货'!$H:$H,J5077))</f>
        <v>6</v>
      </c>
      <c r="I5077" s="39" t="str">
        <f>VLOOKUP(B5077,辅助信息!E:I,3,FALSE)</f>
        <v>(五冶钢构龙泉东洪片区70亩住宅、商业及配套工程项目三标段)成都市龙泉驿外东洪路地铁2号线惠王陵地铁C口</v>
      </c>
      <c r="J5077" s="40" t="str">
        <f>VLOOKUP(B5077,辅助信息!E:I,4,FALSE)</f>
        <v>蒋嗣伟</v>
      </c>
      <c r="K5077" s="40">
        <f>VLOOKUP(J5077,辅助信息!H:I,2,FALSE)</f>
        <v>15014331252</v>
      </c>
      <c r="L5077" s="109">
        <f>VLOOKUP(B5077,辅助信息!E:J,6,FALSE)</f>
        <v>0</v>
      </c>
      <c r="M5077" s="91">
        <v>45959</v>
      </c>
      <c r="O5077" s="62">
        <f ca="1" t="shared" si="240"/>
        <v>0</v>
      </c>
      <c r="P5077" s="62">
        <f ca="1" t="shared" si="241"/>
        <v>1</v>
      </c>
      <c r="Q5077" s="29" t="str">
        <f>VLOOKUP(B5077,辅助信息!E:M,9,FALSE)</f>
        <v>ZTWM-CDGS-XS-2025-0156-五冶钢构-2025年九月第一批次钢筋采购合同(三圣乡项目)-中铁物贸成都公司</v>
      </c>
      <c r="R5077" s="29" t="str">
        <f>_xlfn._xlws.FILTER(辅助信息!D:D,辅助信息!E:E=B5077)</f>
        <v>五冶钢构龙泉东洪片区(70亩、85亩)住宅、商业及配套工程项目</v>
      </c>
    </row>
    <row r="5078" spans="2:18">
      <c r="B5078" s="135" t="s">
        <v>240</v>
      </c>
      <c r="C5078" s="70">
        <v>45960</v>
      </c>
      <c r="D5078" s="40" t="str">
        <f>VLOOKUP(B5078,辅助信息!E:K,7,FALSE)</f>
        <v>JWDDCD2025092400204</v>
      </c>
      <c r="E5078" s="40" t="str">
        <f>VLOOKUP(F5078,辅助信息!A:B,2,FALSE)</f>
        <v>螺纹钢</v>
      </c>
      <c r="F5078" s="40" t="s">
        <v>18</v>
      </c>
      <c r="G5078" s="36">
        <v>10</v>
      </c>
      <c r="H5078" s="134">
        <f>IF(SUMIFS('[1]2025年已发货'!$E:$E,'[1]2025年已发货'!$F:$F,C5078,'[1]2025年已发货'!$C:$C,F5078,'[1]2025年已发货'!$G:$G,I5078,'[1]2025年已发货'!$H:$H,J5078)=0,"未发货",SUMIFS('[1]2025年已发货'!$E:$E,'[1]2025年已发货'!$F:$F,C5078,'[1]2025年已发货'!$C:$C,F5078,'[1]2025年已发货'!$G:$G,I5078,'[1]2025年已发货'!$H:$H,J5078))</f>
        <v>10</v>
      </c>
      <c r="I5078" s="39" t="str">
        <f>VLOOKUP(B5078,辅助信息!E:I,3,FALSE)</f>
        <v>(五冶钢构龙泉东洪片区70亩住宅、商业及配套工程项目三标段)成都市龙泉驿外东洪路地铁2号线惠王陵地铁C口</v>
      </c>
      <c r="J5078" s="40" t="str">
        <f>VLOOKUP(B5078,辅助信息!E:I,4,FALSE)</f>
        <v>蒋嗣伟</v>
      </c>
      <c r="K5078" s="40">
        <f>VLOOKUP(J5078,辅助信息!H:I,2,FALSE)</f>
        <v>15014331252</v>
      </c>
      <c r="L5078" s="109">
        <f>VLOOKUP(B5078,辅助信息!E:J,6,FALSE)</f>
        <v>0</v>
      </c>
      <c r="M5078" s="91">
        <v>45959</v>
      </c>
      <c r="O5078" s="62">
        <f ca="1" t="shared" si="240"/>
        <v>0</v>
      </c>
      <c r="P5078" s="62">
        <f ca="1" t="shared" si="241"/>
        <v>1</v>
      </c>
      <c r="Q5078" s="29" t="str">
        <f>VLOOKUP(B5078,辅助信息!E:M,9,FALSE)</f>
        <v>ZTWM-CDGS-XS-2025-0156-五冶钢构-2025年九月第一批次钢筋采购合同(三圣乡项目)-中铁物贸成都公司</v>
      </c>
      <c r="R5078" s="29" t="str">
        <f>_xlfn._xlws.FILTER(辅助信息!D:D,辅助信息!E:E=B5078)</f>
        <v>五冶钢构龙泉东洪片区(70亩、85亩)住宅、商业及配套工程项目</v>
      </c>
    </row>
    <row r="5079" spans="2:18">
      <c r="B5079" s="135" t="s">
        <v>240</v>
      </c>
      <c r="C5079" s="70">
        <v>45960</v>
      </c>
      <c r="D5079" s="40" t="str">
        <f>VLOOKUP(B5079,辅助信息!E:K,7,FALSE)</f>
        <v>JWDDCD2025092400204</v>
      </c>
      <c r="E5079" s="40" t="str">
        <f>VLOOKUP(F5079,辅助信息!A:B,2,FALSE)</f>
        <v>螺纹钢</v>
      </c>
      <c r="F5079" s="40" t="s">
        <v>66</v>
      </c>
      <c r="G5079" s="36">
        <v>3</v>
      </c>
      <c r="H5079" s="134">
        <f>IF(SUMIFS('[1]2025年已发货'!$E:$E,'[1]2025年已发货'!$F:$F,C5079,'[1]2025年已发货'!$C:$C,F5079,'[1]2025年已发货'!$G:$G,I5079,'[1]2025年已发货'!$H:$H,J5079)=0,"未发货",SUMIFS('[1]2025年已发货'!$E:$E,'[1]2025年已发货'!$F:$F,C5079,'[1]2025年已发货'!$C:$C,F5079,'[1]2025年已发货'!$G:$G,I5079,'[1]2025年已发货'!$H:$H,J5079))</f>
        <v>3</v>
      </c>
      <c r="I5079" s="39" t="str">
        <f>VLOOKUP(B5079,辅助信息!E:I,3,FALSE)</f>
        <v>(五冶钢构龙泉东洪片区70亩住宅、商业及配套工程项目三标段)成都市龙泉驿外东洪路地铁2号线惠王陵地铁C口</v>
      </c>
      <c r="J5079" s="40" t="str">
        <f>VLOOKUP(B5079,辅助信息!E:I,4,FALSE)</f>
        <v>蒋嗣伟</v>
      </c>
      <c r="K5079" s="40">
        <f>VLOOKUP(J5079,辅助信息!H:I,2,FALSE)</f>
        <v>15014331252</v>
      </c>
      <c r="L5079" s="109">
        <f>VLOOKUP(B5079,辅助信息!E:J,6,FALSE)</f>
        <v>0</v>
      </c>
      <c r="M5079" s="91">
        <v>45959</v>
      </c>
      <c r="O5079" s="62">
        <f ca="1" t="shared" si="240"/>
        <v>0</v>
      </c>
      <c r="P5079" s="62">
        <f ca="1" t="shared" si="241"/>
        <v>1</v>
      </c>
      <c r="Q5079" s="29" t="str">
        <f>VLOOKUP(B5079,辅助信息!E:M,9,FALSE)</f>
        <v>ZTWM-CDGS-XS-2025-0156-五冶钢构-2025年九月第一批次钢筋采购合同(三圣乡项目)-中铁物贸成都公司</v>
      </c>
      <c r="R5079" s="29" t="str">
        <f>_xlfn._xlws.FILTER(辅助信息!D:D,辅助信息!E:E=B5079)</f>
        <v>五冶钢构龙泉东洪片区(70亩、85亩)住宅、商业及配套工程项目</v>
      </c>
    </row>
    <row r="5080" spans="2:18">
      <c r="B5080" s="135" t="s">
        <v>240</v>
      </c>
      <c r="C5080" s="70">
        <v>45960</v>
      </c>
      <c r="D5080" s="40" t="str">
        <f>VLOOKUP(B5080,辅助信息!E:K,7,FALSE)</f>
        <v>JWDDCD2025092400204</v>
      </c>
      <c r="E5080" s="40" t="str">
        <f>VLOOKUP(F5080,辅助信息!A:B,2,FALSE)</f>
        <v>螺纹钢</v>
      </c>
      <c r="F5080" s="40" t="s">
        <v>45</v>
      </c>
      <c r="G5080" s="36">
        <v>3</v>
      </c>
      <c r="H5080" s="134">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(五冶钢构龙泉东洪片区70亩住宅、商业及配套工程项目三标段)成都市龙泉驿外东洪路地铁2号线惠王陵地铁C口</v>
      </c>
      <c r="J5080" s="40" t="str">
        <f>VLOOKUP(B5080,辅助信息!E:I,4,FALSE)</f>
        <v>蒋嗣伟</v>
      </c>
      <c r="K5080" s="40">
        <f>VLOOKUP(J5080,辅助信息!H:I,2,FALSE)</f>
        <v>15014331252</v>
      </c>
      <c r="L5080" s="109">
        <f>VLOOKUP(B5080,辅助信息!E:J,6,FALSE)</f>
        <v>0</v>
      </c>
      <c r="M5080" s="91">
        <v>45959</v>
      </c>
      <c r="O5080" s="62">
        <f ca="1" t="shared" si="240"/>
        <v>0</v>
      </c>
      <c r="P5080" s="62">
        <f ca="1" t="shared" si="241"/>
        <v>1</v>
      </c>
      <c r="Q5080" s="29" t="str">
        <f>VLOOKUP(B5080,辅助信息!E:M,9,FALSE)</f>
        <v>ZTWM-CDGS-XS-2025-0156-五冶钢构-2025年九月第一批次钢筋采购合同(三圣乡项目)-中铁物贸成都公司</v>
      </c>
      <c r="R5080" s="29" t="str">
        <f>_xlfn._xlws.FILTER(辅助信息!D:D,辅助信息!E:E=B5080)</f>
        <v>五冶钢构龙泉东洪片区(70亩、85亩)住宅、商业及配套工程项目</v>
      </c>
    </row>
    <row r="5081" spans="2:18">
      <c r="B5081" s="135" t="s">
        <v>240</v>
      </c>
      <c r="C5081" s="70">
        <v>45960</v>
      </c>
      <c r="D5081" s="40" t="str">
        <f>VLOOKUP(B5081,辅助信息!E:K,7,FALSE)</f>
        <v>JWDDCD2025092400204</v>
      </c>
      <c r="E5081" s="40" t="str">
        <f>VLOOKUP(F5081,辅助信息!A:B,2,FALSE)</f>
        <v>螺纹钢</v>
      </c>
      <c r="F5081" s="40" t="s">
        <v>58</v>
      </c>
      <c r="G5081" s="36">
        <v>3</v>
      </c>
      <c r="H5081" s="134">
        <f>IF(SUMIFS('[1]2025年已发货'!$E:$E,'[1]2025年已发货'!$F:$F,C5081,'[1]2025年已发货'!$C:$C,F5081,'[1]2025年已发货'!$G:$G,I5081,'[1]2025年已发货'!$H:$H,J5081)=0,"未发货",SUMIFS('[1]2025年已发货'!$E:$E,'[1]2025年已发货'!$F:$F,C5081,'[1]2025年已发货'!$C:$C,F5081,'[1]2025年已发货'!$G:$G,I5081,'[1]2025年已发货'!$H:$H,J5081))</f>
        <v>3</v>
      </c>
      <c r="I5081" s="39" t="str">
        <f>VLOOKUP(B5081,辅助信息!E:I,3,FALSE)</f>
        <v>(五冶钢构龙泉东洪片区70亩住宅、商业及配套工程项目三标段)成都市龙泉驿外东洪路地铁2号线惠王陵地铁C口</v>
      </c>
      <c r="J5081" s="40" t="str">
        <f>VLOOKUP(B5081,辅助信息!E:I,4,FALSE)</f>
        <v>蒋嗣伟</v>
      </c>
      <c r="K5081" s="40">
        <f>VLOOKUP(J5081,辅助信息!H:I,2,FALSE)</f>
        <v>15014331252</v>
      </c>
      <c r="L5081" s="109">
        <f>VLOOKUP(B5081,辅助信息!E:J,6,FALSE)</f>
        <v>0</v>
      </c>
      <c r="M5081" s="91">
        <v>45959</v>
      </c>
      <c r="O5081" s="62">
        <f ca="1" t="shared" si="240"/>
        <v>0</v>
      </c>
      <c r="P5081" s="62">
        <f ca="1" t="shared" si="241"/>
        <v>1</v>
      </c>
      <c r="Q5081" s="29" t="str">
        <f>VLOOKUP(B5081,辅助信息!E:M,9,FALSE)</f>
        <v>ZTWM-CDGS-XS-2025-0156-五冶钢构-2025年九月第一批次钢筋采购合同(三圣乡项目)-中铁物贸成都公司</v>
      </c>
      <c r="R5081" s="29" t="str">
        <f>_xlfn._xlws.FILTER(辅助信息!D:D,辅助信息!E:E=B5081)</f>
        <v>五冶钢构龙泉东洪片区(70亩、85亩)住宅、商业及配套工程项目</v>
      </c>
    </row>
    <row r="5082" spans="2:18">
      <c r="B5082" s="135" t="s">
        <v>240</v>
      </c>
      <c r="C5082" s="70">
        <v>45960</v>
      </c>
      <c r="D5082" s="40" t="str">
        <f>VLOOKUP(B5082,辅助信息!E:K,7,FALSE)</f>
        <v>JWDDCD2025092400204</v>
      </c>
      <c r="E5082" s="40" t="str">
        <f>VLOOKUP(F5082,辅助信息!A:B,2,FALSE)</f>
        <v>螺纹钢</v>
      </c>
      <c r="F5082" s="40" t="s">
        <v>46</v>
      </c>
      <c r="G5082" s="36">
        <v>6</v>
      </c>
      <c r="H5082" s="134">
        <f>IF(SUMIFS('[1]2025年已发货'!$E:$E,'[1]2025年已发货'!$F:$F,C5082,'[1]2025年已发货'!$C:$C,F5082,'[1]2025年已发货'!$G:$G,I5082,'[1]2025年已发货'!$H:$H,J5082)=0,"未发货",SUMIFS('[1]2025年已发货'!$E:$E,'[1]2025年已发货'!$F:$F,C5082,'[1]2025年已发货'!$C:$C,F5082,'[1]2025年已发货'!$G:$G,I5082,'[1]2025年已发货'!$H:$H,J5082))</f>
        <v>6</v>
      </c>
      <c r="I5082" s="39" t="str">
        <f>VLOOKUP(B5082,辅助信息!E:I,3,FALSE)</f>
        <v>(五冶钢构龙泉东洪片区70亩住宅、商业及配套工程项目三标段)成都市龙泉驿外东洪路地铁2号线惠王陵地铁C口</v>
      </c>
      <c r="J5082" s="40" t="str">
        <f>VLOOKUP(B5082,辅助信息!E:I,4,FALSE)</f>
        <v>蒋嗣伟</v>
      </c>
      <c r="K5082" s="40">
        <f>VLOOKUP(J5082,辅助信息!H:I,2,FALSE)</f>
        <v>15014331252</v>
      </c>
      <c r="L5082" s="109">
        <f>VLOOKUP(B5082,辅助信息!E:J,6,FALSE)</f>
        <v>0</v>
      </c>
      <c r="M5082" s="91">
        <v>45959</v>
      </c>
      <c r="O5082" s="62">
        <f ca="1" t="shared" si="240"/>
        <v>0</v>
      </c>
      <c r="P5082" s="62">
        <f ca="1" t="shared" si="241"/>
        <v>1</v>
      </c>
      <c r="Q5082" s="29" t="str">
        <f>VLOOKUP(B5082,辅助信息!E:M,9,FALSE)</f>
        <v>ZTWM-CDGS-XS-2025-0156-五冶钢构-2025年九月第一批次钢筋采购合同(三圣乡项目)-中铁物贸成都公司</v>
      </c>
      <c r="R5082" s="29" t="str">
        <f>_xlfn._xlws.FILTER(辅助信息!D:D,辅助信息!E:E=B5082)</f>
        <v>五冶钢构龙泉东洪片区(70亩、85亩)住宅、商业及配套工程项目</v>
      </c>
    </row>
    <row r="5083" spans="2:18">
      <c r="B5083" s="135" t="s">
        <v>240</v>
      </c>
      <c r="C5083" s="70">
        <v>45960</v>
      </c>
      <c r="D5083" s="40" t="str">
        <f>VLOOKUP(B5083,辅助信息!E:K,7,FALSE)</f>
        <v>JWDDCD2025092400204</v>
      </c>
      <c r="E5083" s="40" t="str">
        <f>VLOOKUP(F5083,辅助信息!A:B,2,FALSE)</f>
        <v>螺纹钢</v>
      </c>
      <c r="F5083" s="40" t="s">
        <v>22</v>
      </c>
      <c r="G5083" s="36">
        <v>25</v>
      </c>
      <c r="H5083" s="134">
        <f>IF(SUMIFS('[1]2025年已发货'!$E:$E,'[1]2025年已发货'!$F:$F,C5083,'[1]2025年已发货'!$C:$C,F5083,'[1]2025年已发货'!$G:$G,I5083,'[1]2025年已发货'!$H:$H,J5083)=0,"未发货",SUMIFS('[1]2025年已发货'!$E:$E,'[1]2025年已发货'!$F:$F,C5083,'[1]2025年已发货'!$C:$C,F5083,'[1]2025年已发货'!$G:$G,I5083,'[1]2025年已发货'!$H:$H,J5083))</f>
        <v>25</v>
      </c>
      <c r="I5083" s="39" t="str">
        <f>VLOOKUP(B5083,辅助信息!E:I,3,FALSE)</f>
        <v>(五冶钢构龙泉东洪片区70亩住宅、商业及配套工程项目三标段)成都市龙泉驿外东洪路地铁2号线惠王陵地铁C口</v>
      </c>
      <c r="J5083" s="40" t="str">
        <f>VLOOKUP(B5083,辅助信息!E:I,4,FALSE)</f>
        <v>蒋嗣伟</v>
      </c>
      <c r="K5083" s="40">
        <f>VLOOKUP(J5083,辅助信息!H:I,2,FALSE)</f>
        <v>15014331252</v>
      </c>
      <c r="L5083" s="109">
        <f>VLOOKUP(B5083,辅助信息!E:J,6,FALSE)</f>
        <v>0</v>
      </c>
      <c r="M5083" s="91">
        <v>45959</v>
      </c>
      <c r="O5083" s="62">
        <f ca="1" t="shared" si="240"/>
        <v>0</v>
      </c>
      <c r="P5083" s="62">
        <f ca="1" t="shared" si="241"/>
        <v>1</v>
      </c>
      <c r="Q5083" s="29" t="str">
        <f>VLOOKUP(B5083,辅助信息!E:M,9,FALSE)</f>
        <v>ZTWM-CDGS-XS-2025-0156-五冶钢构-2025年九月第一批次钢筋采购合同(三圣乡项目)-中铁物贸成都公司</v>
      </c>
      <c r="R5083" s="29" t="str">
        <f>_xlfn._xlws.FILTER(辅助信息!D:D,辅助信息!E:E=B5083)</f>
        <v>五冶钢构龙泉东洪片区(70亩、85亩)住宅、商业及配套工程项目</v>
      </c>
    </row>
    <row r="5084" spans="2:18">
      <c r="B5084" s="135" t="s">
        <v>31</v>
      </c>
      <c r="C5084" s="70">
        <v>45960</v>
      </c>
      <c r="D5084" s="40" t="str">
        <f>VLOOKUP(B5084,辅助信息!E:K,7,FALSE)</f>
        <v>JWDDCD2024121000136</v>
      </c>
      <c r="E5084" s="40" t="str">
        <f>VLOOKUP(F5084,辅助信息!A:B,2,FALSE)</f>
        <v>盘螺</v>
      </c>
      <c r="F5084" s="40" t="s">
        <v>49</v>
      </c>
      <c r="G5084" s="36">
        <v>24</v>
      </c>
      <c r="H5084" s="134" t="str">
        <f>IF(SUMIFS('[1]2025年已发货'!$E:$E,'[1]2025年已发货'!$F:$F,C5084,'[1]2025年已发货'!$C:$C,F5084,'[1]2025年已发货'!$G:$G,I5084,'[1]2025年已发货'!$H:$H,J5084)=0,"未发货",SUMIFS('[1]2025年已发货'!$E:$E,'[1]2025年已发货'!$F:$F,C5084,'[1]2025年已发货'!$C:$C,F5084,'[1]2025年已发货'!$G:$G,I5084,'[1]2025年已发货'!$H:$H,J5084))</f>
        <v>未发货</v>
      </c>
      <c r="I5084" s="39" t="str">
        <f>VLOOKUP(B5084,辅助信息!E:I,3,FALSE)</f>
        <v>（四川商建-射洪城乡一体化项目）遂宁市射洪市忠新幼儿园北侧约220米新溪小区</v>
      </c>
      <c r="J5084" s="40" t="str">
        <f>VLOOKUP(B5084,辅助信息!E:I,4,FALSE)</f>
        <v>柏子刚</v>
      </c>
      <c r="K5084" s="40">
        <f>VLOOKUP(J5084,辅助信息!H:I,2,FALSE)</f>
        <v>15692885305</v>
      </c>
      <c r="L5084" s="109" t="str">
        <f>VLOOKUP(B5084,辅助信息!E:J,6,FALSE)</f>
        <v>提前联系到场规格及数量</v>
      </c>
      <c r="M5084" s="91">
        <v>45959</v>
      </c>
      <c r="O5084" s="62">
        <f ca="1" t="shared" si="240"/>
        <v>0</v>
      </c>
      <c r="P5084" s="62">
        <f ca="1" t="shared" si="241"/>
        <v>1</v>
      </c>
      <c r="Q5084" s="29" t="str">
        <f>VLOOKUP(B5084,辅助信息!E:M,9,FALSE)</f>
        <v>ZTWM-CDGS-XS-2024-0179-四川商投-射洪城乡一体化建设项目</v>
      </c>
      <c r="R5084" s="29" t="str">
        <f>_xlfn._xlws.FILTER(辅助信息!D:D,辅助信息!E:E=B5084)</f>
        <v>四川商建
射洪城乡一体化项目</v>
      </c>
    </row>
    <row r="5085" spans="2:18">
      <c r="B5085" s="135" t="s">
        <v>31</v>
      </c>
      <c r="C5085" s="70">
        <v>45960</v>
      </c>
      <c r="D5085" s="40" t="str">
        <f>VLOOKUP(B5085,辅助信息!E:K,7,FALSE)</f>
        <v>JWDDCD2024121000136</v>
      </c>
      <c r="E5085" s="40" t="str">
        <f>VLOOKUP(F5085,辅助信息!A:B,2,FALSE)</f>
        <v>螺纹钢</v>
      </c>
      <c r="F5085" s="40" t="s">
        <v>19</v>
      </c>
      <c r="G5085" s="36">
        <v>11</v>
      </c>
      <c r="H5085" s="134" t="str">
        <f>IF(SUMIFS('[1]2025年已发货'!$E:$E,'[1]2025年已发货'!$F:$F,C5085,'[1]2025年已发货'!$C:$C,F5085,'[1]2025年已发货'!$G:$G,I5085,'[1]2025年已发货'!$H:$H,J5085)=0,"未发货",SUMIFS('[1]2025年已发货'!$E:$E,'[1]2025年已发货'!$F:$F,C5085,'[1]2025年已发货'!$C:$C,F5085,'[1]2025年已发货'!$G:$G,I5085,'[1]2025年已发货'!$H:$H,J5085))</f>
        <v>未发货</v>
      </c>
      <c r="I5085" s="39" t="str">
        <f>VLOOKUP(B5085,辅助信息!E:I,3,FALSE)</f>
        <v>（四川商建-射洪城乡一体化项目）遂宁市射洪市忠新幼儿园北侧约220米新溪小区</v>
      </c>
      <c r="J5085" s="40" t="str">
        <f>VLOOKUP(B5085,辅助信息!E:I,4,FALSE)</f>
        <v>柏子刚</v>
      </c>
      <c r="K5085" s="40">
        <f>VLOOKUP(J5085,辅助信息!H:I,2,FALSE)</f>
        <v>15692885305</v>
      </c>
      <c r="L5085" s="109" t="str">
        <f>VLOOKUP(B5085,辅助信息!E:J,6,FALSE)</f>
        <v>提前联系到场规格及数量</v>
      </c>
      <c r="M5085" s="91">
        <v>45959</v>
      </c>
      <c r="O5085" s="62">
        <f ca="1" t="shared" si="240"/>
        <v>0</v>
      </c>
      <c r="P5085" s="62">
        <f ca="1" t="shared" si="241"/>
        <v>1</v>
      </c>
      <c r="Q5085" s="29" t="str">
        <f>VLOOKUP(B5085,辅助信息!E:M,9,FALSE)</f>
        <v>ZTWM-CDGS-XS-2024-0179-四川商投-射洪城乡一体化建设项目</v>
      </c>
      <c r="R5085" s="29" t="str">
        <f>_xlfn._xlws.FILTER(辅助信息!D:D,辅助信息!E:E=B5085)</f>
        <v>四川商建
射洪城乡一体化项目</v>
      </c>
    </row>
    <row r="5086" spans="2:18">
      <c r="B5086" s="135" t="s">
        <v>31</v>
      </c>
      <c r="C5086" s="70">
        <v>45960</v>
      </c>
      <c r="D5086" s="40" t="str">
        <f>VLOOKUP(B5086,辅助信息!E:K,7,FALSE)</f>
        <v>JWDDCD2024121000136</v>
      </c>
      <c r="E5086" s="40" t="str">
        <f>VLOOKUP(F5086,辅助信息!A:B,2,FALSE)</f>
        <v>螺纹钢</v>
      </c>
      <c r="F5086" s="40" t="s">
        <v>22</v>
      </c>
      <c r="G5086" s="36">
        <v>35</v>
      </c>
      <c r="H5086" s="134" t="str">
        <f>IF(SUMIFS('[1]2025年已发货'!$E:$E,'[1]2025年已发货'!$F:$F,C5086,'[1]2025年已发货'!$C:$C,F5086,'[1]2025年已发货'!$G:$G,I5086,'[1]2025年已发货'!$H:$H,J5086)=0,"未发货",SUMIFS('[1]2025年已发货'!$E:$E,'[1]2025年已发货'!$F:$F,C5086,'[1]2025年已发货'!$C:$C,F5086,'[1]2025年已发货'!$G:$G,I5086,'[1]2025年已发货'!$H:$H,J5086))</f>
        <v>未发货</v>
      </c>
      <c r="I5086" s="39" t="str">
        <f>VLOOKUP(B5086,辅助信息!E:I,3,FALSE)</f>
        <v>（四川商建-射洪城乡一体化项目）遂宁市射洪市忠新幼儿园北侧约220米新溪小区</v>
      </c>
      <c r="J5086" s="40" t="str">
        <f>VLOOKUP(B5086,辅助信息!E:I,4,FALSE)</f>
        <v>柏子刚</v>
      </c>
      <c r="K5086" s="40">
        <f>VLOOKUP(J5086,辅助信息!H:I,2,FALSE)</f>
        <v>15692885305</v>
      </c>
      <c r="L5086" s="109" t="str">
        <f>VLOOKUP(B5086,辅助信息!E:J,6,FALSE)</f>
        <v>提前联系到场规格及数量</v>
      </c>
      <c r="M5086" s="91">
        <v>45959</v>
      </c>
      <c r="O5086" s="62">
        <f ca="1">IF(OR(M5086="",N5086&lt;&gt;""),"",MAX(M5086-TODAY(),0))</f>
        <v>0</v>
      </c>
      <c r="P5086" s="62">
        <f ca="1">IF(M5086="","",IF(N5086&lt;&gt;"",MAX(N5086-M5086,0),IF(TODAY()&gt;M5086,TODAY()-M5086,0)))</f>
        <v>1</v>
      </c>
      <c r="Q5086" s="29" t="str">
        <f>VLOOKUP(B5086,辅助信息!E:M,9,FALSE)</f>
        <v>ZTWM-CDGS-XS-2024-0179-四川商投-射洪城乡一体化建设项目</v>
      </c>
      <c r="R5086" s="29" t="str">
        <f>_xlfn._xlws.FILTER(辅助信息!D:D,辅助信息!E:E=B5086)</f>
        <v>四川商建
射洪城乡一体化项目</v>
      </c>
    </row>
    <row r="5087" hidden="1" spans="2:18">
      <c r="B5087" s="135" t="s">
        <v>224</v>
      </c>
      <c r="C5087" s="70">
        <v>45959</v>
      </c>
      <c r="D5087" s="40" t="str">
        <f>VLOOKUP(B5087,辅助信息!E:K,7,FALSE)</f>
        <v>JWDDCD2025092400188</v>
      </c>
      <c r="E5087" s="40" t="str">
        <f>VLOOKUP(F5087,辅助信息!A:B,2,FALSE)</f>
        <v>盘螺</v>
      </c>
      <c r="F5087" s="40" t="s">
        <v>49</v>
      </c>
      <c r="G5087" s="36">
        <v>6</v>
      </c>
      <c r="H5087" s="134">
        <f>IF(SUMIFS('[1]2025年已发货'!$E:$E,'[1]2025年已发货'!$F:$F,C5087,'[1]2025年已发货'!$C:$C,F5087,'[1]2025年已发货'!$G:$G,I5087,'[1]2025年已发货'!$H:$H,J5087)=0,"未发货",SUMIFS('[1]2025年已发货'!$E:$E,'[1]2025年已发货'!$F:$F,C5087,'[1]2025年已发货'!$C:$C,F5087,'[1]2025年已发货'!$G:$G,I5087,'[1]2025年已发货'!$H:$H,J5087))</f>
        <v>6</v>
      </c>
      <c r="I5087" s="39" t="str">
        <f>VLOOKUP(B5087,辅助信息!E:I,3,FALSE)</f>
        <v>(五冶钢构龙泉东洪片区70亩住宅、商业及配套工程项目一标段)成都市龙泉驿外东洪路地铁2号线惠王陵地铁C口</v>
      </c>
      <c r="J5087" s="40" t="str">
        <f>VLOOKUP(B5087,辅助信息!E:I,4,FALSE)</f>
        <v>邹爱国</v>
      </c>
      <c r="K5087" s="40">
        <f>VLOOKUP(J5087,辅助信息!H:I,2,FALSE)</f>
        <v>13540231225</v>
      </c>
      <c r="L5087" s="109">
        <f>VLOOKUP(B5087,辅助信息!E:J,6,FALSE)</f>
        <v>0</v>
      </c>
      <c r="M5087" s="91">
        <v>45959</v>
      </c>
      <c r="O5087" s="62">
        <f ca="1">IF(OR(M5087="",N5087&lt;&gt;""),"",MAX(M5087-TODAY(),0))</f>
        <v>0</v>
      </c>
      <c r="P5087" s="62">
        <f ca="1">IF(M5087="","",IF(N5087&lt;&gt;"",MAX(N5087-M5087,0),IF(TODAY()&gt;M5087,TODAY()-M5087,0)))</f>
        <v>1</v>
      </c>
      <c r="Q5087" s="29" t="str">
        <f>VLOOKUP(B5087,辅助信息!E:M,9,FALSE)</f>
        <v>ZTWM-CDGS-XS-2025-0156-五冶钢构-2025年九月第一批次钢筋采购合同(三圣乡项目)-中铁物贸成都公司</v>
      </c>
      <c r="R5087" s="29" t="str">
        <f>_xlfn._xlws.FILTER(辅助信息!D:D,辅助信息!E:E=B5087)</f>
        <v>五冶钢构龙泉东洪片区(70亩、85亩)住宅、商业及配套工程项目</v>
      </c>
    </row>
    <row r="5088" hidden="1" spans="2:18">
      <c r="B5088" s="135" t="s">
        <v>224</v>
      </c>
      <c r="C5088" s="70">
        <v>45959</v>
      </c>
      <c r="D5088" s="40" t="str">
        <f>VLOOKUP(B5088,辅助信息!E:K,7,FALSE)</f>
        <v>JWDDCD2025092400188</v>
      </c>
      <c r="E5088" s="40" t="str">
        <f>VLOOKUP(F5088,辅助信息!A:B,2,FALSE)</f>
        <v>盘螺</v>
      </c>
      <c r="F5088" s="40" t="s">
        <v>40</v>
      </c>
      <c r="G5088" s="36">
        <v>30</v>
      </c>
      <c r="H5088" s="134">
        <f>IF(SUMIFS('[1]2025年已发货'!$E:$E,'[1]2025年已发货'!$F:$F,C5088,'[1]2025年已发货'!$C:$C,F5088,'[1]2025年已发货'!$G:$G,I5088,'[1]2025年已发货'!$H:$H,J5088)=0,"未发货",SUMIFS('[1]2025年已发货'!$E:$E,'[1]2025年已发货'!$F:$F,C5088,'[1]2025年已发货'!$C:$C,F5088,'[1]2025年已发货'!$G:$G,I5088,'[1]2025年已发货'!$H:$H,J5088))</f>
        <v>30</v>
      </c>
      <c r="I5088" s="39" t="str">
        <f>VLOOKUP(B5088,辅助信息!E:I,3,FALSE)</f>
        <v>(五冶钢构龙泉东洪片区70亩住宅、商业及配套工程项目一标段)成都市龙泉驿外东洪路地铁2号线惠王陵地铁C口</v>
      </c>
      <c r="J5088" s="40" t="str">
        <f>VLOOKUP(B5088,辅助信息!E:I,4,FALSE)</f>
        <v>邹爱国</v>
      </c>
      <c r="K5088" s="40">
        <f>VLOOKUP(J5088,辅助信息!H:I,2,FALSE)</f>
        <v>13540231225</v>
      </c>
      <c r="L5088" s="109">
        <f>VLOOKUP(B5088,辅助信息!E:J,6,FALSE)</f>
        <v>0</v>
      </c>
      <c r="M5088" s="91">
        <v>45959</v>
      </c>
      <c r="O5088" s="62">
        <f ca="1">IF(OR(M5088="",N5088&lt;&gt;""),"",MAX(M5088-TODAY(),0))</f>
        <v>0</v>
      </c>
      <c r="P5088" s="62">
        <f ca="1">IF(M5088="","",IF(N5088&lt;&gt;"",MAX(N5088-M5088,0),IF(TODAY()&gt;M5088,TODAY()-M5088,0)))</f>
        <v>1</v>
      </c>
      <c r="Q5088" s="29" t="str">
        <f>VLOOKUP(B5088,辅助信息!E:M,9,FALSE)</f>
        <v>ZTWM-CDGS-XS-2025-0156-五冶钢构-2025年九月第一批次钢筋采购合同(三圣乡项目)-中铁物贸成都公司</v>
      </c>
      <c r="R5088" s="29" t="str">
        <f>_xlfn._xlws.FILTER(辅助信息!D:D,辅助信息!E:E=B5088)</f>
        <v>五冶钢构龙泉东洪片区(70亩、85亩)住宅、商业及配套工程项目</v>
      </c>
    </row>
    <row r="5089" hidden="1" spans="2:18">
      <c r="B5089" s="135" t="s">
        <v>226</v>
      </c>
      <c r="C5089" s="70">
        <v>45959</v>
      </c>
      <c r="D5089" s="40" t="str">
        <f>VLOOKUP(B5089,辅助信息!E:K,7,FALSE)</f>
        <v>JWDDCD2025092400211</v>
      </c>
      <c r="E5089" s="40" t="str">
        <f>VLOOKUP(F5089,辅助信息!A:B,2,FALSE)</f>
        <v>盘螺</v>
      </c>
      <c r="F5089" s="40" t="s">
        <v>40</v>
      </c>
      <c r="G5089" s="36">
        <v>35</v>
      </c>
      <c r="H5089" s="134">
        <f>IF(SUMIFS('[1]2025年已发货'!$E:$E,'[1]2025年已发货'!$F:$F,C5089,'[1]2025年已发货'!$C:$C,F5089,'[1]2025年已发货'!$G:$G,I5089,'[1]2025年已发货'!$H:$H,J5089)=0,"未发货",SUMIFS('[1]2025年已发货'!$E:$E,'[1]2025年已发货'!$F:$F,C5089,'[1]2025年已发货'!$C:$C,F5089,'[1]2025年已发货'!$G:$G,I5089,'[1]2025年已发货'!$H:$H,J5089))</f>
        <v>35</v>
      </c>
      <c r="I5089" s="39" t="str">
        <f>VLOOKUP(B5089,辅助信息!E:I,3,FALSE)</f>
        <v>(五冶钢构龙泉东洪片区85亩住宅、商业及配套工程项目二标段)成都市龙泉驿外东洪路地铁2号线惠王陵地铁C口</v>
      </c>
      <c r="J5089" s="40" t="str">
        <f>VLOOKUP(B5089,辅助信息!E:I,4,FALSE)</f>
        <v>李渊</v>
      </c>
      <c r="K5089" s="40">
        <f>VLOOKUP(J5089,辅助信息!H:I,2,FALSE)</f>
        <v>18381013849</v>
      </c>
      <c r="L5089" s="109">
        <f>VLOOKUP(B5089,辅助信息!E:J,6,FALSE)</f>
        <v>0</v>
      </c>
      <c r="M5089" s="159">
        <v>45959</v>
      </c>
      <c r="O5089" s="62">
        <f ca="1">IF(OR(M5089="",N5089&lt;&gt;""),"",MAX(M5089-TODAY(),0))</f>
        <v>0</v>
      </c>
      <c r="P5089" s="62">
        <f ca="1">IF(M5089="","",IF(N5089&lt;&gt;"",MAX(N5089-M5089,0),IF(TODAY()&gt;M5089,TODAY()-M5089,0)))</f>
        <v>1</v>
      </c>
      <c r="Q5089" s="29" t="str">
        <f>VLOOKUP(B5089,辅助信息!E:M,9,FALSE)</f>
        <v>ZTWM-CDGS-XS-2025-0156-五冶钢构-2025年九月第一批次钢筋采购合同(三圣乡项目)-中铁物贸成都公司</v>
      </c>
      <c r="R5089" s="29" t="str">
        <f>_xlfn._xlws.FILTER(辅助信息!D:D,辅助信息!E:E=B5089)</f>
        <v>五冶钢构龙泉东洪片区(70亩、85亩)住宅、商业及配套工程项目</v>
      </c>
    </row>
    <row r="5090" hidden="1" spans="2:18">
      <c r="B5090" s="135" t="s">
        <v>226</v>
      </c>
      <c r="C5090" s="70">
        <v>45959</v>
      </c>
      <c r="D5090" s="40" t="str">
        <f>VLOOKUP(B5090,辅助信息!E:K,7,FALSE)</f>
        <v>JWDDCD2025092400211</v>
      </c>
      <c r="E5090" s="40" t="str">
        <f>VLOOKUP(F5090,辅助信息!A:B,2,FALSE)</f>
        <v>螺纹钢</v>
      </c>
      <c r="F5090" s="40" t="s">
        <v>19</v>
      </c>
      <c r="G5090" s="36">
        <v>10</v>
      </c>
      <c r="H5090" s="134">
        <f>IF(SUMIFS('[1]2025年已发货'!$E:$E,'[1]2025年已发货'!$F:$F,C5090,'[1]2025年已发货'!$C:$C,F5090,'[1]2025年已发货'!$G:$G,I5090,'[1]2025年已发货'!$H:$H,J5090)=0,"未发货",SUMIFS('[1]2025年已发货'!$E:$E,'[1]2025年已发货'!$F:$F,C5090,'[1]2025年已发货'!$C:$C,F5090,'[1]2025年已发货'!$G:$G,I5090,'[1]2025年已发货'!$H:$H,J5090))</f>
        <v>12.5</v>
      </c>
      <c r="I5090" s="39" t="str">
        <f>VLOOKUP(B5090,辅助信息!E:I,3,FALSE)</f>
        <v>(五冶钢构龙泉东洪片区85亩住宅、商业及配套工程项目二标段)成都市龙泉驿外东洪路地铁2号线惠王陵地铁C口</v>
      </c>
      <c r="J5090" s="40" t="str">
        <f>VLOOKUP(B5090,辅助信息!E:I,4,FALSE)</f>
        <v>李渊</v>
      </c>
      <c r="K5090" s="40">
        <f>VLOOKUP(J5090,辅助信息!H:I,2,FALSE)</f>
        <v>18381013849</v>
      </c>
      <c r="L5090" s="109">
        <f>VLOOKUP(B5090,辅助信息!E:J,6,FALSE)</f>
        <v>0</v>
      </c>
      <c r="M5090" s="159">
        <v>45959</v>
      </c>
      <c r="O5090" s="62">
        <f ca="1">IF(OR(M5090="",N5090&lt;&gt;""),"",MAX(M5090-TODAY(),0))</f>
        <v>0</v>
      </c>
      <c r="P5090" s="62">
        <f ca="1">IF(M5090="","",IF(N5090&lt;&gt;"",MAX(N5090-M5090,0),IF(TODAY()&gt;M5090,TODAY()-M5090,0)))</f>
        <v>1</v>
      </c>
      <c r="Q5090" s="29" t="str">
        <f>VLOOKUP(B5090,辅助信息!E:M,9,FALSE)</f>
        <v>ZTWM-CDGS-XS-2025-0156-五冶钢构-2025年九月第一批次钢筋采购合同(三圣乡项目)-中铁物贸成都公司</v>
      </c>
      <c r="R5090" s="29" t="str">
        <f>_xlfn._xlws.FILTER(辅助信息!D:D,辅助信息!E:E=B5090)</f>
        <v>五冶钢构龙泉东洪片区(70亩、85亩)住宅、商业及配套工程项目</v>
      </c>
    </row>
    <row r="5091" hidden="1" spans="2:18">
      <c r="B5091" s="135" t="s">
        <v>226</v>
      </c>
      <c r="C5091" s="70">
        <v>45959</v>
      </c>
      <c r="D5091" s="40" t="str">
        <f>VLOOKUP(B5091,辅助信息!E:K,7,FALSE)</f>
        <v>JWDDCD2025092400211</v>
      </c>
      <c r="E5091" s="40" t="str">
        <f>VLOOKUP(F5091,辅助信息!A:B,2,FALSE)</f>
        <v>螺纹钢</v>
      </c>
      <c r="F5091" s="40" t="s">
        <v>32</v>
      </c>
      <c r="G5091" s="36">
        <v>10</v>
      </c>
      <c r="H5091" s="134">
        <f>IF(SUMIFS('[1]2025年已发货'!$E:$E,'[1]2025年已发货'!$F:$F,C5091,'[1]2025年已发货'!$C:$C,F5091,'[1]2025年已发货'!$G:$G,I5091,'[1]2025年已发货'!$H:$H,J5091)=0,"未发货",SUMIFS('[1]2025年已发货'!$E:$E,'[1]2025年已发货'!$F:$F,C5091,'[1]2025年已发货'!$C:$C,F5091,'[1]2025年已发货'!$G:$G,I5091,'[1]2025年已发货'!$H:$H,J5091))</f>
        <v>12.5</v>
      </c>
      <c r="I5091" s="39" t="str">
        <f>VLOOKUP(B5091,辅助信息!E:I,3,FALSE)</f>
        <v>(五冶钢构龙泉东洪片区85亩住宅、商业及配套工程项目二标段)成都市龙泉驿外东洪路地铁2号线惠王陵地铁C口</v>
      </c>
      <c r="J5091" s="40" t="str">
        <f>VLOOKUP(B5091,辅助信息!E:I,4,FALSE)</f>
        <v>李渊</v>
      </c>
      <c r="K5091" s="40">
        <f>VLOOKUP(J5091,辅助信息!H:I,2,FALSE)</f>
        <v>18381013849</v>
      </c>
      <c r="L5091" s="109">
        <f>VLOOKUP(B5091,辅助信息!E:J,6,FALSE)</f>
        <v>0</v>
      </c>
      <c r="M5091" s="159">
        <v>45959</v>
      </c>
      <c r="O5091" s="62">
        <f ca="1">IF(OR(M5091="",N5091&lt;&gt;""),"",MAX(M5091-TODAY(),0))</f>
        <v>0</v>
      </c>
      <c r="P5091" s="62">
        <f ca="1">IF(M5091="","",IF(N5091&lt;&gt;"",MAX(N5091-M5091,0),IF(TODAY()&gt;M5091,TODAY()-M5091,0)))</f>
        <v>1</v>
      </c>
      <c r="Q5091" s="29" t="str">
        <f>VLOOKUP(B5091,辅助信息!E:M,9,FALSE)</f>
        <v>ZTWM-CDGS-XS-2025-0156-五冶钢构-2025年九月第一批次钢筋采购合同(三圣乡项目)-中铁物贸成都公司</v>
      </c>
      <c r="R5091" s="29" t="str">
        <f>_xlfn._xlws.FILTER(辅助信息!D:D,辅助信息!E:E=B5091)</f>
        <v>五冶钢构龙泉东洪片区(70亩、85亩)住宅、商业及配套工程项目</v>
      </c>
    </row>
    <row r="5092" hidden="1" spans="2:18">
      <c r="B5092" s="135" t="s">
        <v>226</v>
      </c>
      <c r="C5092" s="70">
        <v>45959</v>
      </c>
      <c r="D5092" s="40" t="str">
        <f>VLOOKUP(B5092,辅助信息!E:K,7,FALSE)</f>
        <v>JWDDCD2025092400211</v>
      </c>
      <c r="E5092" s="40" t="str">
        <f>VLOOKUP(F5092,辅助信息!A:B,2,FALSE)</f>
        <v>螺纹钢</v>
      </c>
      <c r="F5092" s="40" t="s">
        <v>30</v>
      </c>
      <c r="G5092" s="36">
        <v>15</v>
      </c>
      <c r="H5092" s="134">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(五冶钢构龙泉东洪片区85亩住宅、商业及配套工程项目二标段)成都市龙泉驿外东洪路地铁2号线惠王陵地铁C口</v>
      </c>
      <c r="J5092" s="40" t="str">
        <f>VLOOKUP(B5092,辅助信息!E:I,4,FALSE)</f>
        <v>李渊</v>
      </c>
      <c r="K5092" s="40">
        <f>VLOOKUP(J5092,辅助信息!H:I,2,FALSE)</f>
        <v>18381013849</v>
      </c>
      <c r="L5092" s="109">
        <f>VLOOKUP(B5092,辅助信息!E:J,6,FALSE)</f>
        <v>0</v>
      </c>
      <c r="M5092" s="159">
        <v>45959</v>
      </c>
      <c r="O5092" s="62">
        <f ca="1">IF(OR(M5092="",N5092&lt;&gt;""),"",MAX(M5092-TODAY(),0))</f>
        <v>0</v>
      </c>
      <c r="P5092" s="62">
        <f ca="1">IF(M5092="","",IF(N5092&lt;&gt;"",MAX(N5092-M5092,0),IF(TODAY()&gt;M5092,TODAY()-M5092,0)))</f>
        <v>1</v>
      </c>
      <c r="Q5092" s="29" t="str">
        <f>VLOOKUP(B5092,辅助信息!E:M,9,FALSE)</f>
        <v>ZTWM-CDGS-XS-2025-0156-五冶钢构-2025年九月第一批次钢筋采购合同(三圣乡项目)-中铁物贸成都公司</v>
      </c>
      <c r="R5092" s="29" t="str">
        <f>_xlfn._xlws.FILTER(辅助信息!D:D,辅助信息!E:E=B5092)</f>
        <v>五冶钢构龙泉东洪片区(70亩、85亩)住宅、商业及配套工程项目</v>
      </c>
    </row>
    <row r="5093" spans="2:18">
      <c r="B5093" s="135" t="s">
        <v>215</v>
      </c>
      <c r="C5093" s="70">
        <v>45960</v>
      </c>
      <c r="D5093" s="40" t="str">
        <f>VLOOKUP(B5093,辅助信息!E:K,7,FALSE)</f>
        <v>JWDDCD2025102100486</v>
      </c>
      <c r="E5093" s="40" t="str">
        <f>VLOOKUP(F5093,辅助信息!A:B,2,FALSE)</f>
        <v>盘螺</v>
      </c>
      <c r="F5093" s="40" t="s">
        <v>40</v>
      </c>
      <c r="G5093" s="36">
        <v>16</v>
      </c>
      <c r="H5093" s="134">
        <f>IF(SUMIFS('[1]2025年已发货'!$E:$E,'[1]2025年已发货'!$F:$F,C5093,'[1]2025年已发货'!$C:$C,F5093,'[1]2025年已发货'!$G:$G,I5093,'[1]2025年已发货'!$H:$H,J5093)=0,"未发货",SUMIFS('[1]2025年已发货'!$E:$E,'[1]2025年已发货'!$F:$F,C5093,'[1]2025年已发货'!$C:$C,F5093,'[1]2025年已发货'!$G:$G,I5093,'[1]2025年已发货'!$H:$H,J5093))</f>
        <v>16</v>
      </c>
      <c r="I5093" s="39" t="str">
        <f>VLOOKUP(B5093,辅助信息!E:I,3,FALSE)</f>
        <v>(五冶建设龙泉驿一医院配套建设工程)成都市龙泉驿区董朗路69号龙泉驿一医院5号门</v>
      </c>
      <c r="J5093" s="40" t="str">
        <f>VLOOKUP(B5093,辅助信息!E:I,4,FALSE)</f>
        <v>孙敏</v>
      </c>
      <c r="K5093" s="40">
        <f>VLOOKUP(J5093,辅助信息!H:I,2,FALSE)</f>
        <v>13617695006</v>
      </c>
      <c r="L5093" s="109" t="str">
        <f>VLOOKUP(B5093,辅助信息!E:J,6,FALSE)</f>
        <v>联系实际收货人（孙敏13617695006）五冶建设送货单,6份材质书,锈货不收，装货前联系收货人核实到场规格,没提前告知进场规格现场不给予接收</v>
      </c>
      <c r="M5093" s="91">
        <v>45960</v>
      </c>
      <c r="O5093" s="62">
        <f ca="1">IF(OR(M5093="",N5093&lt;&gt;""),"",MAX(M5093-TODAY(),0))</f>
        <v>0</v>
      </c>
      <c r="P5093" s="62">
        <f ca="1">IF(M5093="","",IF(N5093&lt;&gt;"",MAX(N5093-M5093,0),IF(TODAY()&gt;M5093,TODAY()-M5093,0)))</f>
        <v>0</v>
      </c>
      <c r="Q5093" s="29" t="str">
        <f>VLOOKUP(B5093,辅助信息!E:M,9,FALSE)</f>
        <v>ZTWM-CDGS-XS-2025-0073-五冶天府-成都怡心湖片区及龙泉驿医院等项目</v>
      </c>
      <c r="R5093" s="29" t="str">
        <f>_xlfn._xlws.FILTER(辅助信息!D:D,辅助信息!E:E=B5093)</f>
        <v>五冶建设龙泉驿一医院配套建设工程</v>
      </c>
    </row>
    <row r="5094" spans="2:18">
      <c r="B5094" s="135" t="s">
        <v>215</v>
      </c>
      <c r="C5094" s="70">
        <v>45960</v>
      </c>
      <c r="D5094" s="40" t="str">
        <f>VLOOKUP(B5094,辅助信息!E:K,7,FALSE)</f>
        <v>JWDDCD2025102100486</v>
      </c>
      <c r="E5094" s="40" t="str">
        <f>VLOOKUP(F5094,辅助信息!A:B,2,FALSE)</f>
        <v>盘螺</v>
      </c>
      <c r="F5094" s="40" t="s">
        <v>41</v>
      </c>
      <c r="G5094" s="36">
        <v>18</v>
      </c>
      <c r="H5094" s="134">
        <f>IF(SUMIFS('[1]2025年已发货'!$E:$E,'[1]2025年已发货'!$F:$F,C5094,'[1]2025年已发货'!$C:$C,F5094,'[1]2025年已发货'!$G:$G,I5094,'[1]2025年已发货'!$H:$H,J5094)=0,"未发货",SUMIFS('[1]2025年已发货'!$E:$E,'[1]2025年已发货'!$F:$F,C5094,'[1]2025年已发货'!$C:$C,F5094,'[1]2025年已发货'!$G:$G,I5094,'[1]2025年已发货'!$H:$H,J5094))</f>
        <v>18</v>
      </c>
      <c r="I5094" s="39" t="str">
        <f>VLOOKUP(B5094,辅助信息!E:I,3,FALSE)</f>
        <v>(五冶建设龙泉驿一医院配套建设工程)成都市龙泉驿区董朗路69号龙泉驿一医院5号门</v>
      </c>
      <c r="J5094" s="40" t="str">
        <f>VLOOKUP(B5094,辅助信息!E:I,4,FALSE)</f>
        <v>孙敏</v>
      </c>
      <c r="K5094" s="40">
        <f>VLOOKUP(J5094,辅助信息!H:I,2,FALSE)</f>
        <v>13617695006</v>
      </c>
      <c r="L5094" s="109" t="str">
        <f>VLOOKUP(B5094,辅助信息!E:J,6,FALSE)</f>
        <v>联系实际收货人（孙敏13617695006）五冶建设送货单,6份材质书,锈货不收，装货前联系收货人核实到场规格,没提前告知进场规格现场不给予接收</v>
      </c>
      <c r="M5094" s="91">
        <v>45960</v>
      </c>
      <c r="O5094" s="62">
        <f ca="1">IF(OR(M5094="",N5094&lt;&gt;""),"",MAX(M5094-TODAY(),0))</f>
        <v>0</v>
      </c>
      <c r="P5094" s="62">
        <f ca="1">IF(M5094="","",IF(N5094&lt;&gt;"",MAX(N5094-M5094,0),IF(TODAY()&gt;M5094,TODAY()-M5094,0)))</f>
        <v>0</v>
      </c>
      <c r="Q5094" s="29" t="str">
        <f>VLOOKUP(B5094,辅助信息!E:M,9,FALSE)</f>
        <v>ZTWM-CDGS-XS-2025-0073-五冶天府-成都怡心湖片区及龙泉驿医院等项目</v>
      </c>
      <c r="R5094" s="29" t="str">
        <f>_xlfn._xlws.FILTER(辅助信息!D:D,辅助信息!E:E=B5094)</f>
        <v>五冶建设龙泉驿一医院配套建设工程</v>
      </c>
    </row>
    <row r="5095" spans="2:18">
      <c r="B5095" s="135" t="s">
        <v>215</v>
      </c>
      <c r="C5095" s="70">
        <v>45960</v>
      </c>
      <c r="D5095" s="40" t="str">
        <f>VLOOKUP(B5095,辅助信息!E:K,7,FALSE)</f>
        <v>JWDDCD2025102100486</v>
      </c>
      <c r="E5095" s="40" t="str">
        <f>VLOOKUP(F5095,辅助信息!A:B,2,FALSE)</f>
        <v>盘螺</v>
      </c>
      <c r="F5095" s="40" t="s">
        <v>26</v>
      </c>
      <c r="G5095" s="36">
        <v>6</v>
      </c>
      <c r="H5095" s="134">
        <f>IF(SUMIFS('[1]2025年已发货'!$E:$E,'[1]2025年已发货'!$F:$F,C5095,'[1]2025年已发货'!$C:$C,F5095,'[1]2025年已发货'!$G:$G,I5095,'[1]2025年已发货'!$H:$H,J5095)=0,"未发货",SUMIFS('[1]2025年已发货'!$E:$E,'[1]2025年已发货'!$F:$F,C5095,'[1]2025年已发货'!$C:$C,F5095,'[1]2025年已发货'!$G:$G,I5095,'[1]2025年已发货'!$H:$H,J5095))</f>
        <v>6</v>
      </c>
      <c r="I5095" s="39" t="str">
        <f>VLOOKUP(B5095,辅助信息!E:I,3,FALSE)</f>
        <v>(五冶建设龙泉驿一医院配套建设工程)成都市龙泉驿区董朗路69号龙泉驿一医院5号门</v>
      </c>
      <c r="J5095" s="40" t="str">
        <f>VLOOKUP(B5095,辅助信息!E:I,4,FALSE)</f>
        <v>孙敏</v>
      </c>
      <c r="K5095" s="40">
        <f>VLOOKUP(J5095,辅助信息!H:I,2,FALSE)</f>
        <v>13617695006</v>
      </c>
      <c r="L5095" s="109" t="str">
        <f>VLOOKUP(B5095,辅助信息!E:J,6,FALSE)</f>
        <v>联系实际收货人（孙敏13617695006）五冶建设送货单,6份材质书,锈货不收，装货前联系收货人核实到场规格,没提前告知进场规格现场不给予接收</v>
      </c>
      <c r="M5095" s="91">
        <v>45960</v>
      </c>
      <c r="O5095" s="62">
        <f ca="1">IF(OR(M5095="",N5095&lt;&gt;""),"",MAX(M5095-TODAY(),0))</f>
        <v>0</v>
      </c>
      <c r="P5095" s="62">
        <f ca="1">IF(M5095="","",IF(N5095&lt;&gt;"",MAX(N5095-M5095,0),IF(TODAY()&gt;M5095,TODAY()-M5095,0)))</f>
        <v>0</v>
      </c>
      <c r="Q5095" s="29" t="str">
        <f>VLOOKUP(B5095,辅助信息!E:M,9,FALSE)</f>
        <v>ZTWM-CDGS-XS-2025-0073-五冶天府-成都怡心湖片区及龙泉驿医院等项目</v>
      </c>
      <c r="R5095" s="29" t="str">
        <f>_xlfn._xlws.FILTER(辅助信息!D:D,辅助信息!E:E=B5095)</f>
        <v>五冶建设龙泉驿一医院配套建设工程</v>
      </c>
    </row>
    <row r="5096" spans="2:18">
      <c r="B5096" s="135" t="s">
        <v>215</v>
      </c>
      <c r="C5096" s="70">
        <v>45960</v>
      </c>
      <c r="D5096" s="40" t="str">
        <f>VLOOKUP(B5096,辅助信息!E:K,7,FALSE)</f>
        <v>JWDDCD2025102100486</v>
      </c>
      <c r="E5096" s="40" t="str">
        <f>VLOOKUP(F5096,辅助信息!A:B,2,FALSE)</f>
        <v>螺纹钢</v>
      </c>
      <c r="F5096" s="40" t="s">
        <v>27</v>
      </c>
      <c r="G5096" s="36">
        <v>3</v>
      </c>
      <c r="H5096" s="134">
        <f>IF(SUMIFS('[1]2025年已发货'!$E:$E,'[1]2025年已发货'!$F:$F,C5096,'[1]2025年已发货'!$C:$C,F5096,'[1]2025年已发货'!$G:$G,I5096,'[1]2025年已发货'!$H:$H,J5096)=0,"未发货",SUMIFS('[1]2025年已发货'!$E:$E,'[1]2025年已发货'!$F:$F,C5096,'[1]2025年已发货'!$C:$C,F5096,'[1]2025年已发货'!$G:$G,I5096,'[1]2025年已发货'!$H:$H,J5096))</f>
        <v>3</v>
      </c>
      <c r="I5096" s="39" t="str">
        <f>VLOOKUP(B5096,辅助信息!E:I,3,FALSE)</f>
        <v>(五冶建设龙泉驿一医院配套建设工程)成都市龙泉驿区董朗路69号龙泉驿一医院5号门</v>
      </c>
      <c r="J5096" s="40" t="str">
        <f>VLOOKUP(B5096,辅助信息!E:I,4,FALSE)</f>
        <v>孙敏</v>
      </c>
      <c r="K5096" s="40">
        <f>VLOOKUP(J5096,辅助信息!H:I,2,FALSE)</f>
        <v>13617695006</v>
      </c>
      <c r="L5096" s="109" t="str">
        <f>VLOOKUP(B5096,辅助信息!E:J,6,FALSE)</f>
        <v>联系实际收货人（孙敏13617695006）五冶建设送货单,6份材质书,锈货不收，装货前联系收货人核实到场规格,没提前告知进场规格现场不给予接收</v>
      </c>
      <c r="M5096" s="91">
        <v>45960</v>
      </c>
      <c r="O5096" s="62">
        <f ca="1">IF(OR(M5096="",N5096&lt;&gt;""),"",MAX(M5096-TODAY(),0))</f>
        <v>0</v>
      </c>
      <c r="P5096" s="62">
        <f ca="1">IF(M5096="","",IF(N5096&lt;&gt;"",MAX(N5096-M5096,0),IF(TODAY()&gt;M5096,TODAY()-M5096,0)))</f>
        <v>0</v>
      </c>
      <c r="Q5096" s="29" t="str">
        <f>VLOOKUP(B5096,辅助信息!E:M,9,FALSE)</f>
        <v>ZTWM-CDGS-XS-2025-0073-五冶天府-成都怡心湖片区及龙泉驿医院等项目</v>
      </c>
      <c r="R5096" s="29" t="str">
        <f>_xlfn._xlws.FILTER(辅助信息!D:D,辅助信息!E:E=B5096)</f>
        <v>五冶建设龙泉驿一医院配套建设工程</v>
      </c>
    </row>
    <row r="5097" spans="2:18">
      <c r="B5097" s="135" t="s">
        <v>215</v>
      </c>
      <c r="C5097" s="70">
        <v>45960</v>
      </c>
      <c r="D5097" s="40" t="str">
        <f>VLOOKUP(B5097,辅助信息!E:K,7,FALSE)</f>
        <v>JWDDCD2025102100486</v>
      </c>
      <c r="E5097" s="40" t="str">
        <f>VLOOKUP(F5097,辅助信息!A:B,2,FALSE)</f>
        <v>螺纹钢</v>
      </c>
      <c r="F5097" s="40" t="s">
        <v>19</v>
      </c>
      <c r="G5097" s="36">
        <v>3</v>
      </c>
      <c r="H5097" s="134">
        <f>IF(SUMIFS('[1]2025年已发货'!$E:$E,'[1]2025年已发货'!$F:$F,C5097,'[1]2025年已发货'!$C:$C,F5097,'[1]2025年已发货'!$G:$G,I5097,'[1]2025年已发货'!$H:$H,J5097)=0,"未发货",SUMIFS('[1]2025年已发货'!$E:$E,'[1]2025年已发货'!$F:$F,C5097,'[1]2025年已发货'!$C:$C,F5097,'[1]2025年已发货'!$G:$G,I5097,'[1]2025年已发货'!$H:$H,J5097))</f>
        <v>3</v>
      </c>
      <c r="I5097" s="39" t="str">
        <f>VLOOKUP(B5097,辅助信息!E:I,3,FALSE)</f>
        <v>(五冶建设龙泉驿一医院配套建设工程)成都市龙泉驿区董朗路69号龙泉驿一医院5号门</v>
      </c>
      <c r="J5097" s="40" t="str">
        <f>VLOOKUP(B5097,辅助信息!E:I,4,FALSE)</f>
        <v>孙敏</v>
      </c>
      <c r="K5097" s="40">
        <f>VLOOKUP(J5097,辅助信息!H:I,2,FALSE)</f>
        <v>13617695006</v>
      </c>
      <c r="L5097" s="109" t="str">
        <f>VLOOKUP(B5097,辅助信息!E:J,6,FALSE)</f>
        <v>联系实际收货人（孙敏13617695006）五冶建设送货单,6份材质书,锈货不收，装货前联系收货人核实到场规格,没提前告知进场规格现场不给予接收</v>
      </c>
      <c r="M5097" s="91">
        <v>45960</v>
      </c>
      <c r="O5097" s="62">
        <f ca="1">IF(OR(M5097="",N5097&lt;&gt;""),"",MAX(M5097-TODAY(),0))</f>
        <v>0</v>
      </c>
      <c r="P5097" s="62">
        <f ca="1">IF(M5097="","",IF(N5097&lt;&gt;"",MAX(N5097-M5097,0),IF(TODAY()&gt;M5097,TODAY()-M5097,0)))</f>
        <v>0</v>
      </c>
      <c r="Q5097" s="29" t="str">
        <f>VLOOKUP(B5097,辅助信息!E:M,9,FALSE)</f>
        <v>ZTWM-CDGS-XS-2025-0073-五冶天府-成都怡心湖片区及龙泉驿医院等项目</v>
      </c>
      <c r="R5097" s="29" t="str">
        <f>_xlfn._xlws.FILTER(辅助信息!D:D,辅助信息!E:E=B5097)</f>
        <v>五冶建设龙泉驿一医院配套建设工程</v>
      </c>
    </row>
    <row r="5098" spans="2:18">
      <c r="B5098" s="135" t="s">
        <v>215</v>
      </c>
      <c r="C5098" s="70">
        <v>45960</v>
      </c>
      <c r="D5098" s="40" t="str">
        <f>VLOOKUP(B5098,辅助信息!E:K,7,FALSE)</f>
        <v>JWDDCD2025102100486</v>
      </c>
      <c r="E5098" s="40" t="str">
        <f>VLOOKUP(F5098,辅助信息!A:B,2,FALSE)</f>
        <v>螺纹钢</v>
      </c>
      <c r="F5098" s="40" t="s">
        <v>32</v>
      </c>
      <c r="G5098" s="36">
        <v>3</v>
      </c>
      <c r="H5098" s="134">
        <f>IF(SUMIFS('[1]2025年已发货'!$E:$E,'[1]2025年已发货'!$F:$F,C5098,'[1]2025年已发货'!$C:$C,F5098,'[1]2025年已发货'!$G:$G,I5098,'[1]2025年已发货'!$H:$H,J5098)=0,"未发货",SUMIFS('[1]2025年已发货'!$E:$E,'[1]2025年已发货'!$F:$F,C5098,'[1]2025年已发货'!$C:$C,F5098,'[1]2025年已发货'!$G:$G,I5098,'[1]2025年已发货'!$H:$H,J5098))</f>
        <v>3</v>
      </c>
      <c r="I5098" s="39" t="str">
        <f>VLOOKUP(B5098,辅助信息!E:I,3,FALSE)</f>
        <v>(五冶建设龙泉驿一医院配套建设工程)成都市龙泉驿区董朗路69号龙泉驿一医院5号门</v>
      </c>
      <c r="J5098" s="40" t="str">
        <f>VLOOKUP(B5098,辅助信息!E:I,4,FALSE)</f>
        <v>孙敏</v>
      </c>
      <c r="K5098" s="40">
        <f>VLOOKUP(J5098,辅助信息!H:I,2,FALSE)</f>
        <v>13617695006</v>
      </c>
      <c r="L5098" s="109" t="str">
        <f>VLOOKUP(B5098,辅助信息!E:J,6,FALSE)</f>
        <v>联系实际收货人（孙敏13617695006）五冶建设送货单,6份材质书,锈货不收，装货前联系收货人核实到场规格,没提前告知进场规格现场不给予接收</v>
      </c>
      <c r="M5098" s="91">
        <v>45960</v>
      </c>
      <c r="O5098" s="62">
        <f ca="1">IF(OR(M5098="",N5098&lt;&gt;""),"",MAX(M5098-TODAY(),0))</f>
        <v>0</v>
      </c>
      <c r="P5098" s="62">
        <f ca="1">IF(M5098="","",IF(N5098&lt;&gt;"",MAX(N5098-M5098,0),IF(TODAY()&gt;M5098,TODAY()-M5098,0)))</f>
        <v>0</v>
      </c>
      <c r="Q5098" s="29" t="str">
        <f>VLOOKUP(B5098,辅助信息!E:M,9,FALSE)</f>
        <v>ZTWM-CDGS-XS-2025-0073-五冶天府-成都怡心湖片区及龙泉驿医院等项目</v>
      </c>
      <c r="R5098" s="29" t="str">
        <f>_xlfn._xlws.FILTER(辅助信息!D:D,辅助信息!E:E=B5098)</f>
        <v>五冶建设龙泉驿一医院配套建设工程</v>
      </c>
    </row>
    <row r="5099" spans="2:18">
      <c r="B5099" s="135" t="s">
        <v>215</v>
      </c>
      <c r="C5099" s="70">
        <v>45960</v>
      </c>
      <c r="D5099" s="40" t="str">
        <f>VLOOKUP(B5099,辅助信息!E:K,7,FALSE)</f>
        <v>JWDDCD2025102100486</v>
      </c>
      <c r="E5099" s="40" t="str">
        <f>VLOOKUP(F5099,辅助信息!A:B,2,FALSE)</f>
        <v>螺纹钢</v>
      </c>
      <c r="F5099" s="40" t="s">
        <v>82</v>
      </c>
      <c r="G5099" s="36">
        <v>3</v>
      </c>
      <c r="H5099" s="134">
        <f>IF(SUMIFS('[1]2025年已发货'!$E:$E,'[1]2025年已发货'!$F:$F,C5099,'[1]2025年已发货'!$C:$C,F5099,'[1]2025年已发货'!$G:$G,I5099,'[1]2025年已发货'!$H:$H,J5099)=0,"未发货",SUMIFS('[1]2025年已发货'!$E:$E,'[1]2025年已发货'!$F:$F,C5099,'[1]2025年已发货'!$C:$C,F5099,'[1]2025年已发货'!$G:$G,I5099,'[1]2025年已发货'!$H:$H,J5099))</f>
        <v>3</v>
      </c>
      <c r="I5099" s="39" t="str">
        <f>VLOOKUP(B5099,辅助信息!E:I,3,FALSE)</f>
        <v>(五冶建设龙泉驿一医院配套建设工程)成都市龙泉驿区董朗路69号龙泉驿一医院5号门</v>
      </c>
      <c r="J5099" s="40" t="str">
        <f>VLOOKUP(B5099,辅助信息!E:I,4,FALSE)</f>
        <v>孙敏</v>
      </c>
      <c r="K5099" s="40">
        <f>VLOOKUP(J5099,辅助信息!H:I,2,FALSE)</f>
        <v>13617695006</v>
      </c>
      <c r="L5099" s="109" t="str">
        <f>VLOOKUP(B5099,辅助信息!E:J,6,FALSE)</f>
        <v>联系实际收货人（孙敏13617695006）五冶建设送货单,6份材质书,锈货不收，装货前联系收货人核实到场规格,没提前告知进场规格现场不给予接收</v>
      </c>
      <c r="M5099" s="91">
        <v>45960</v>
      </c>
      <c r="O5099" s="62">
        <f ca="1">IF(OR(M5099="",N5099&lt;&gt;""),"",MAX(M5099-TODAY(),0))</f>
        <v>0</v>
      </c>
      <c r="P5099" s="62">
        <f ca="1">IF(M5099="","",IF(N5099&lt;&gt;"",MAX(N5099-M5099,0),IF(TODAY()&gt;M5099,TODAY()-M5099,0)))</f>
        <v>0</v>
      </c>
      <c r="Q5099" s="29" t="str">
        <f>VLOOKUP(B5099,辅助信息!E:M,9,FALSE)</f>
        <v>ZTWM-CDGS-XS-2025-0073-五冶天府-成都怡心湖片区及龙泉驿医院等项目</v>
      </c>
      <c r="R5099" s="29" t="str">
        <f>_xlfn._xlws.FILTER(辅助信息!D:D,辅助信息!E:E=B5099)</f>
        <v>五冶建设龙泉驿一医院配套建设工程</v>
      </c>
    </row>
    <row r="5100" spans="2:18">
      <c r="B5100" s="135" t="s">
        <v>215</v>
      </c>
      <c r="C5100" s="70">
        <v>45960</v>
      </c>
      <c r="D5100" s="40" t="str">
        <f>VLOOKUP(B5100,辅助信息!E:K,7,FALSE)</f>
        <v>JWDDCD2025102100486</v>
      </c>
      <c r="E5100" s="40" t="str">
        <f>VLOOKUP(F5100,辅助信息!A:B,2,FALSE)</f>
        <v>螺纹钢</v>
      </c>
      <c r="F5100" s="40" t="s">
        <v>21</v>
      </c>
      <c r="G5100" s="36">
        <v>3</v>
      </c>
      <c r="H5100" s="134">
        <f>IF(SUMIFS('[1]2025年已发货'!$E:$E,'[1]2025年已发货'!$F:$F,C5100,'[1]2025年已发货'!$C:$C,F5100,'[1]2025年已发货'!$G:$G,I5100,'[1]2025年已发货'!$H:$H,J5100)=0,"未发货",SUMIFS('[1]2025年已发货'!$E:$E,'[1]2025年已发货'!$F:$F,C5100,'[1]2025年已发货'!$C:$C,F5100,'[1]2025年已发货'!$G:$G,I5100,'[1]2025年已发货'!$H:$H,J5100))</f>
        <v>3</v>
      </c>
      <c r="I5100" s="39" t="str">
        <f>VLOOKUP(B5100,辅助信息!E:I,3,FALSE)</f>
        <v>(五冶建设龙泉驿一医院配套建设工程)成都市龙泉驿区董朗路69号龙泉驿一医院5号门</v>
      </c>
      <c r="J5100" s="40" t="str">
        <f>VLOOKUP(B5100,辅助信息!E:I,4,FALSE)</f>
        <v>孙敏</v>
      </c>
      <c r="K5100" s="40">
        <f>VLOOKUP(J5100,辅助信息!H:I,2,FALSE)</f>
        <v>13617695006</v>
      </c>
      <c r="L5100" s="109" t="str">
        <f>VLOOKUP(B5100,辅助信息!E:J,6,FALSE)</f>
        <v>联系实际收货人（孙敏13617695006）五冶建设送货单,6份材质书,锈货不收，装货前联系收货人核实到场规格,没提前告知进场规格现场不给予接收</v>
      </c>
      <c r="M5100" s="91">
        <v>45960</v>
      </c>
      <c r="O5100" s="62">
        <f ca="1">IF(OR(M5100="",N5100&lt;&gt;""),"",MAX(M5100-TODAY(),0))</f>
        <v>0</v>
      </c>
      <c r="P5100" s="62">
        <f ca="1">IF(M5100="","",IF(N5100&lt;&gt;"",MAX(N5100-M5100,0),IF(TODAY()&gt;M5100,TODAY()-M5100,0)))</f>
        <v>0</v>
      </c>
      <c r="Q5100" s="29" t="str">
        <f>VLOOKUP(B5100,辅助信息!E:M,9,FALSE)</f>
        <v>ZTWM-CDGS-XS-2025-0073-五冶天府-成都怡心湖片区及龙泉驿医院等项目</v>
      </c>
      <c r="R5100" s="29" t="str">
        <f>_xlfn._xlws.FILTER(辅助信息!D:D,辅助信息!E:E=B5100)</f>
        <v>五冶建设龙泉驿一医院配套建设工程</v>
      </c>
    </row>
    <row r="5101" spans="2:18">
      <c r="B5101" s="135" t="s">
        <v>215</v>
      </c>
      <c r="C5101" s="70">
        <v>45960</v>
      </c>
      <c r="D5101" s="40" t="str">
        <f>VLOOKUP(B5101,辅助信息!E:K,7,FALSE)</f>
        <v>JWDDCD2025102100486</v>
      </c>
      <c r="E5101" s="40" t="str">
        <f>VLOOKUP(F5101,辅助信息!A:B,2,FALSE)</f>
        <v>螺纹钢</v>
      </c>
      <c r="F5101" s="40" t="s">
        <v>58</v>
      </c>
      <c r="G5101" s="36">
        <v>12</v>
      </c>
      <c r="H5101" s="134">
        <f>IF(SUMIFS('[1]2025年已发货'!$E:$E,'[1]2025年已发货'!$F:$F,C5101,'[1]2025年已发货'!$C:$C,F5101,'[1]2025年已发货'!$G:$G,I5101,'[1]2025年已发货'!$H:$H,J5101)=0,"未发货",SUMIFS('[1]2025年已发货'!$E:$E,'[1]2025年已发货'!$F:$F,C5101,'[1]2025年已发货'!$C:$C,F5101,'[1]2025年已发货'!$G:$G,I5101,'[1]2025年已发货'!$H:$H,J5101))</f>
        <v>12</v>
      </c>
      <c r="I5101" s="39" t="str">
        <f>VLOOKUP(B5101,辅助信息!E:I,3,FALSE)</f>
        <v>(五冶建设龙泉驿一医院配套建设工程)成都市龙泉驿区董朗路69号龙泉驿一医院5号门</v>
      </c>
      <c r="J5101" s="40" t="str">
        <f>VLOOKUP(B5101,辅助信息!E:I,4,FALSE)</f>
        <v>孙敏</v>
      </c>
      <c r="K5101" s="40">
        <f>VLOOKUP(J5101,辅助信息!H:I,2,FALSE)</f>
        <v>13617695006</v>
      </c>
      <c r="L5101" s="109" t="str">
        <f>VLOOKUP(B5101,辅助信息!E:J,6,FALSE)</f>
        <v>联系实际收货人（孙敏13617695006）五冶建设送货单,6份材质书,锈货不收，装货前联系收货人核实到场规格,没提前告知进场规格现场不给予接收</v>
      </c>
      <c r="M5101" s="91">
        <v>45960</v>
      </c>
      <c r="O5101" s="62">
        <f ca="1">IF(OR(M5101="",N5101&lt;&gt;""),"",MAX(M5101-TODAY(),0))</f>
        <v>0</v>
      </c>
      <c r="P5101" s="62">
        <f ca="1">IF(M5101="","",IF(N5101&lt;&gt;"",MAX(N5101-M5101,0),IF(TODAY()&gt;M5101,TODAY()-M5101,0)))</f>
        <v>0</v>
      </c>
      <c r="Q5101" s="29" t="str">
        <f>VLOOKUP(B5101,辅助信息!E:M,9,FALSE)</f>
        <v>ZTWM-CDGS-XS-2025-0073-五冶天府-成都怡心湖片区及龙泉驿医院等项目</v>
      </c>
      <c r="R5101" s="29" t="str">
        <f>_xlfn._xlws.FILTER(辅助信息!D:D,辅助信息!E:E=B5101)</f>
        <v>五冶建设龙泉驿一医院配套建设工程</v>
      </c>
    </row>
    <row r="5102" spans="2:18">
      <c r="B5102" s="135" t="s">
        <v>215</v>
      </c>
      <c r="C5102" s="70">
        <v>45960</v>
      </c>
      <c r="D5102" s="40" t="str">
        <f>VLOOKUP(B5102,辅助信息!E:K,7,FALSE)</f>
        <v>JWDDCD2025102100486</v>
      </c>
      <c r="E5102" s="40" t="str">
        <f>VLOOKUP(F5102,辅助信息!A:B,2,FALSE)</f>
        <v>螺纹钢</v>
      </c>
      <c r="F5102" s="40" t="s">
        <v>46</v>
      </c>
      <c r="G5102" s="36">
        <v>3</v>
      </c>
      <c r="H5102" s="134">
        <f>IF(SUMIFS('[1]2025年已发货'!$E:$E,'[1]2025年已发货'!$F:$F,C5102,'[1]2025年已发货'!$C:$C,F5102,'[1]2025年已发货'!$G:$G,I5102,'[1]2025年已发货'!$H:$H,J5102)=0,"未发货",SUMIFS('[1]2025年已发货'!$E:$E,'[1]2025年已发货'!$F:$F,C5102,'[1]2025年已发货'!$C:$C,F5102,'[1]2025年已发货'!$G:$G,I5102,'[1]2025年已发货'!$H:$H,J5102))</f>
        <v>3</v>
      </c>
      <c r="I5102" s="39" t="str">
        <f>VLOOKUP(B5102,辅助信息!E:I,3,FALSE)</f>
        <v>(五冶建设龙泉驿一医院配套建设工程)成都市龙泉驿区董朗路69号龙泉驿一医院5号门</v>
      </c>
      <c r="J5102" s="40" t="str">
        <f>VLOOKUP(B5102,辅助信息!E:I,4,FALSE)</f>
        <v>孙敏</v>
      </c>
      <c r="K5102" s="40">
        <f>VLOOKUP(J5102,辅助信息!H:I,2,FALSE)</f>
        <v>13617695006</v>
      </c>
      <c r="L5102" s="109" t="str">
        <f>VLOOKUP(B5102,辅助信息!E:J,6,FALSE)</f>
        <v>联系实际收货人（孙敏13617695006）五冶建设送货单,6份材质书,锈货不收，装货前联系收货人核实到场规格,没提前告知进场规格现场不给予接收</v>
      </c>
      <c r="M5102" s="91">
        <v>45960</v>
      </c>
      <c r="O5102" s="62">
        <f ca="1">IF(OR(M5102="",N5102&lt;&gt;""),"",MAX(M5102-TODAY(),0))</f>
        <v>0</v>
      </c>
      <c r="P5102" s="62">
        <f ca="1">IF(M5102="","",IF(N5102&lt;&gt;"",MAX(N5102-M5102,0),IF(TODAY()&gt;M5102,TODAY()-M5102,0)))</f>
        <v>0</v>
      </c>
      <c r="Q5102" s="29" t="str">
        <f>VLOOKUP(B5102,辅助信息!E:M,9,FALSE)</f>
        <v>ZTWM-CDGS-XS-2025-0073-五冶天府-成都怡心湖片区及龙泉驿医院等项目</v>
      </c>
      <c r="R5102" s="29" t="str">
        <f>_xlfn._xlws.FILTER(辅助信息!D:D,辅助信息!E:E=B5102)</f>
        <v>五冶建设龙泉驿一医院配套建设工程</v>
      </c>
    </row>
    <row r="5103" spans="2:18">
      <c r="B5103" s="135" t="s">
        <v>215</v>
      </c>
      <c r="C5103" s="70">
        <v>45960</v>
      </c>
      <c r="D5103" s="40" t="str">
        <f>VLOOKUP(B5103,辅助信息!E:K,7,FALSE)</f>
        <v>JWDDCD2025102100486</v>
      </c>
      <c r="E5103" s="40" t="str">
        <f>VLOOKUP(F5103,辅助信息!A:B,2,FALSE)</f>
        <v>螺纹钢</v>
      </c>
      <c r="F5103" s="40" t="s">
        <v>22</v>
      </c>
      <c r="G5103" s="36">
        <v>35</v>
      </c>
      <c r="H5103" s="134">
        <f>IF(SUMIFS('[1]2025年已发货'!$E:$E,'[1]2025年已发货'!$F:$F,C5103,'[1]2025年已发货'!$C:$C,F5103,'[1]2025年已发货'!$G:$G,I5103,'[1]2025年已发货'!$H:$H,J5103)=0,"未发货",SUMIFS('[1]2025年已发货'!$E:$E,'[1]2025年已发货'!$F:$F,C5103,'[1]2025年已发货'!$C:$C,F5103,'[1]2025年已发货'!$G:$G,I5103,'[1]2025年已发货'!$H:$H,J5103))</f>
        <v>35</v>
      </c>
      <c r="I5103" s="39" t="str">
        <f>VLOOKUP(B5103,辅助信息!E:I,3,FALSE)</f>
        <v>(五冶建设龙泉驿一医院配套建设工程)成都市龙泉驿区董朗路69号龙泉驿一医院5号门</v>
      </c>
      <c r="J5103" s="40" t="str">
        <f>VLOOKUP(B5103,辅助信息!E:I,4,FALSE)</f>
        <v>孙敏</v>
      </c>
      <c r="K5103" s="40">
        <f>VLOOKUP(J5103,辅助信息!H:I,2,FALSE)</f>
        <v>13617695006</v>
      </c>
      <c r="L5103" s="109" t="str">
        <f>VLOOKUP(B5103,辅助信息!E:J,6,FALSE)</f>
        <v>联系实际收货人（孙敏13617695006）五冶建设送货单,6份材质书,锈货不收，装货前联系收货人核实到场规格,没提前告知进场规格现场不给予接收</v>
      </c>
      <c r="M5103" s="91">
        <v>45960</v>
      </c>
      <c r="O5103" s="62">
        <f ca="1">IF(OR(M5103="",N5103&lt;&gt;""),"",MAX(M5103-TODAY(),0))</f>
        <v>0</v>
      </c>
      <c r="P5103" s="62">
        <f ca="1">IF(M5103="","",IF(N5103&lt;&gt;"",MAX(N5103-M5103,0),IF(TODAY()&gt;M5103,TODAY()-M5103,0)))</f>
        <v>0</v>
      </c>
      <c r="Q5103" s="29" t="str">
        <f>VLOOKUP(B5103,辅助信息!E:M,9,FALSE)</f>
        <v>ZTWM-CDGS-XS-2025-0073-五冶天府-成都怡心湖片区及龙泉驿医院等项目</v>
      </c>
      <c r="R5103" s="29" t="str">
        <f>_xlfn._xlws.FILTER(辅助信息!D:D,辅助信息!E:E=B5103)</f>
        <v>五冶建设龙泉驿一医院配套建设工程</v>
      </c>
    </row>
    <row r="5104" spans="2:18">
      <c r="B5104" s="135" t="s">
        <v>196</v>
      </c>
      <c r="C5104" s="70">
        <v>45960</v>
      </c>
      <c r="D5104" s="40" t="str">
        <f>VLOOKUP(B5104,辅助信息!E:K,7,FALSE)</f>
        <v>JWDDCD2025102100476</v>
      </c>
      <c r="E5104" s="40" t="str">
        <f>VLOOKUP(F5104,辅助信息!A:B,2,FALSE)</f>
        <v>盘螺</v>
      </c>
      <c r="F5104" s="40" t="s">
        <v>40</v>
      </c>
      <c r="G5104" s="36">
        <v>5</v>
      </c>
      <c r="H5104" s="134">
        <f>IF(SUMIFS('[1]2025年已发货'!$E:$E,'[1]2025年已发货'!$F:$F,C5104,'[1]2025年已发货'!$C:$C,F5104,'[1]2025年已发货'!$G:$G,I5104,'[1]2025年已发货'!$H:$H,J5104)=0,"未发货",SUMIFS('[1]2025年已发货'!$E:$E,'[1]2025年已发货'!$F:$F,C5104,'[1]2025年已发货'!$C:$C,F5104,'[1]2025年已发货'!$G:$G,I5104,'[1]2025年已发货'!$H:$H,J5104))</f>
        <v>5</v>
      </c>
      <c r="I5104" s="39" t="str">
        <f>VLOOKUP(B5104,辅助信息!E:I,3,FALSE)</f>
        <v>(五冶建设师大附中外语校新建教学楼工程)四川省成都市成华区大观堰2号(四川师范大学附属中学外国语学校)</v>
      </c>
      <c r="J5104" s="40" t="str">
        <f>VLOOKUP(B5104,辅助信息!E:I,4,FALSE)</f>
        <v>蔡浩</v>
      </c>
      <c r="K5104" s="40">
        <f>VLOOKUP(J5104,辅助信息!H:I,2,FALSE)</f>
        <v>13980880820</v>
      </c>
      <c r="L5104" s="109" t="str">
        <f>VLOOKUP(B5104,辅助信息!E:J,6,FALSE)</f>
        <v>联系实际收货人（蔡浩13980880820）五冶建设送货单,6份材质书（司机拍照资料份数，该项目经常掉材质书和吊牌谎话连篇）,锈货不收，装货前联系收货人核实到场规格,没提前告知进场规格现场不给予接收</v>
      </c>
      <c r="M5104" s="91">
        <v>45960</v>
      </c>
      <c r="O5104" s="62">
        <f ca="1">IF(OR(M5104="",N5104&lt;&gt;""),"",MAX(M5104-TODAY(),0))</f>
        <v>0</v>
      </c>
      <c r="P5104" s="62">
        <f ca="1">IF(M5104="","",IF(N5104&lt;&gt;"",MAX(N5104-M5104,0),IF(TODAY()&gt;M5104,TODAY()-M5104,0)))</f>
        <v>0</v>
      </c>
      <c r="Q5104" s="29" t="str">
        <f>VLOOKUP(B5104,辅助信息!E:M,9,FALSE)</f>
        <v>ZTWM-CDGS-XS-2025-0073-五冶天府-成都怡心湖片区及龙泉驿医院等项目</v>
      </c>
      <c r="R5104" s="29" t="str">
        <f>_xlfn._xlws.FILTER(辅助信息!D:D,辅助信息!E:E=B5104)</f>
        <v>五冶建设师大附中外语校新建教学楼工程</v>
      </c>
    </row>
    <row r="5105" spans="2:18">
      <c r="B5105" s="135" t="s">
        <v>196</v>
      </c>
      <c r="C5105" s="70">
        <v>45960</v>
      </c>
      <c r="D5105" s="40" t="str">
        <f>VLOOKUP(B5105,辅助信息!E:K,7,FALSE)</f>
        <v>JWDDCD2025102100476</v>
      </c>
      <c r="E5105" s="40" t="str">
        <f>VLOOKUP(F5105,辅助信息!A:B,2,FALSE)</f>
        <v>盘螺</v>
      </c>
      <c r="F5105" s="40" t="s">
        <v>41</v>
      </c>
      <c r="G5105" s="36">
        <v>5</v>
      </c>
      <c r="H5105" s="134">
        <f>IF(SUMIFS('[1]2025年已发货'!$E:$E,'[1]2025年已发货'!$F:$F,C5105,'[1]2025年已发货'!$C:$C,F5105,'[1]2025年已发货'!$G:$G,I5105,'[1]2025年已发货'!$H:$H,J5105)=0,"未发货",SUMIFS('[1]2025年已发货'!$E:$E,'[1]2025年已发货'!$F:$F,C5105,'[1]2025年已发货'!$C:$C,F5105,'[1]2025年已发货'!$G:$G,I5105,'[1]2025年已发货'!$H:$H,J5105))</f>
        <v>5</v>
      </c>
      <c r="I5105" s="39" t="str">
        <f>VLOOKUP(B5105,辅助信息!E:I,3,FALSE)</f>
        <v>(五冶建设师大附中外语校新建教学楼工程)四川省成都市成华区大观堰2号(四川师范大学附属中学外国语学校)</v>
      </c>
      <c r="J5105" s="40" t="str">
        <f>VLOOKUP(B5105,辅助信息!E:I,4,FALSE)</f>
        <v>蔡浩</v>
      </c>
      <c r="K5105" s="40">
        <f>VLOOKUP(J5105,辅助信息!H:I,2,FALSE)</f>
        <v>13980880820</v>
      </c>
      <c r="L5105" s="109" t="str">
        <f>VLOOKUP(B5105,辅助信息!E:J,6,FALSE)</f>
        <v>联系实际收货人（蔡浩13980880820）五冶建设送货单,6份材质书（司机拍照资料份数，该项目经常掉材质书和吊牌谎话连篇）,锈货不收，装货前联系收货人核实到场规格,没提前告知进场规格现场不给予接收</v>
      </c>
      <c r="M5105" s="91">
        <v>45960</v>
      </c>
      <c r="O5105" s="62">
        <f ca="1">IF(OR(M5105="",N5105&lt;&gt;""),"",MAX(M5105-TODAY(),0))</f>
        <v>0</v>
      </c>
      <c r="P5105" s="62">
        <f ca="1">IF(M5105="","",IF(N5105&lt;&gt;"",MAX(N5105-M5105,0),IF(TODAY()&gt;M5105,TODAY()-M5105,0)))</f>
        <v>0</v>
      </c>
      <c r="Q5105" s="29" t="str">
        <f>VLOOKUP(B5105,辅助信息!E:M,9,FALSE)</f>
        <v>ZTWM-CDGS-XS-2025-0073-五冶天府-成都怡心湖片区及龙泉驿医院等项目</v>
      </c>
      <c r="R5105" s="29" t="str">
        <f>_xlfn._xlws.FILTER(辅助信息!D:D,辅助信息!E:E=B5105)</f>
        <v>五冶建设师大附中外语校新建教学楼工程</v>
      </c>
    </row>
    <row r="5106" spans="2:18">
      <c r="B5106" s="135" t="s">
        <v>196</v>
      </c>
      <c r="C5106" s="70">
        <v>45960</v>
      </c>
      <c r="D5106" s="40" t="str">
        <f>VLOOKUP(B5106,辅助信息!E:K,7,FALSE)</f>
        <v>JWDDCD2025102100476</v>
      </c>
      <c r="E5106" s="40" t="str">
        <f>VLOOKUP(F5106,辅助信息!A:B,2,FALSE)</f>
        <v>螺纹钢</v>
      </c>
      <c r="F5106" s="40" t="s">
        <v>21</v>
      </c>
      <c r="G5106" s="36">
        <v>5</v>
      </c>
      <c r="H5106" s="134">
        <f>IF(SUMIFS('[1]2025年已发货'!$E:$E,'[1]2025年已发货'!$F:$F,C5106,'[1]2025年已发货'!$C:$C,F5106,'[1]2025年已发货'!$G:$G,I5106,'[1]2025年已发货'!$H:$H,J5106)=0,"未发货",SUMIFS('[1]2025年已发货'!$E:$E,'[1]2025年已发货'!$F:$F,C5106,'[1]2025年已发货'!$C:$C,F5106,'[1]2025年已发货'!$G:$G,I5106,'[1]2025年已发货'!$H:$H,J5106))</f>
        <v>5</v>
      </c>
      <c r="I5106" s="39" t="str">
        <f>VLOOKUP(B5106,辅助信息!E:I,3,FALSE)</f>
        <v>(五冶建设师大附中外语校新建教学楼工程)四川省成都市成华区大观堰2号(四川师范大学附属中学外国语学校)</v>
      </c>
      <c r="J5106" s="40" t="str">
        <f>VLOOKUP(B5106,辅助信息!E:I,4,FALSE)</f>
        <v>蔡浩</v>
      </c>
      <c r="K5106" s="40">
        <f>VLOOKUP(J5106,辅助信息!H:I,2,FALSE)</f>
        <v>13980880820</v>
      </c>
      <c r="L5106" s="109" t="str">
        <f>VLOOKUP(B5106,辅助信息!E:J,6,FALSE)</f>
        <v>联系实际收货人（蔡浩13980880820）五冶建设送货单,6份材质书（司机拍照资料份数，该项目经常掉材质书和吊牌谎话连篇）,锈货不收，装货前联系收货人核实到场规格,没提前告知进场规格现场不给予接收</v>
      </c>
      <c r="M5106" s="91">
        <v>45960</v>
      </c>
      <c r="O5106" s="62">
        <f ca="1">IF(OR(M5106="",N5106&lt;&gt;""),"",MAX(M5106-TODAY(),0))</f>
        <v>0</v>
      </c>
      <c r="P5106" s="62">
        <f ca="1">IF(M5106="","",IF(N5106&lt;&gt;"",MAX(N5106-M5106,0),IF(TODAY()&gt;M5106,TODAY()-M5106,0)))</f>
        <v>0</v>
      </c>
      <c r="Q5106" s="29" t="str">
        <f>VLOOKUP(B5106,辅助信息!E:M,9,FALSE)</f>
        <v>ZTWM-CDGS-XS-2025-0073-五冶天府-成都怡心湖片区及龙泉驿医院等项目</v>
      </c>
      <c r="R5106" s="29" t="str">
        <f>_xlfn._xlws.FILTER(辅助信息!D:D,辅助信息!E:E=B5106)</f>
        <v>五冶建设师大附中外语校新建教学楼工程</v>
      </c>
    </row>
    <row r="5107" spans="2:18">
      <c r="B5107" s="135" t="s">
        <v>196</v>
      </c>
      <c r="C5107" s="70">
        <v>45960</v>
      </c>
      <c r="D5107" s="40" t="str">
        <f>VLOOKUP(B5107,辅助信息!E:K,7,FALSE)</f>
        <v>JWDDCD2025102100476</v>
      </c>
      <c r="E5107" s="40" t="str">
        <f>VLOOKUP(F5107,辅助信息!A:B,2,FALSE)</f>
        <v>螺纹钢</v>
      </c>
      <c r="F5107" s="40" t="s">
        <v>22</v>
      </c>
      <c r="G5107" s="36">
        <v>20</v>
      </c>
      <c r="H5107" s="134">
        <f>IF(SUMIFS('[1]2025年已发货'!$E:$E,'[1]2025年已发货'!$F:$F,C5107,'[1]2025年已发货'!$C:$C,F5107,'[1]2025年已发货'!$G:$G,I5107,'[1]2025年已发货'!$H:$H,J5107)=0,"未发货",SUMIFS('[1]2025年已发货'!$E:$E,'[1]2025年已发货'!$F:$F,C5107,'[1]2025年已发货'!$C:$C,F5107,'[1]2025年已发货'!$G:$G,I5107,'[1]2025年已发货'!$H:$H,J5107))</f>
        <v>20</v>
      </c>
      <c r="I5107" s="39" t="str">
        <f>VLOOKUP(B5107,辅助信息!E:I,3,FALSE)</f>
        <v>(五冶建设师大附中外语校新建教学楼工程)四川省成都市成华区大观堰2号(四川师范大学附属中学外国语学校)</v>
      </c>
      <c r="J5107" s="40" t="str">
        <f>VLOOKUP(B5107,辅助信息!E:I,4,FALSE)</f>
        <v>蔡浩</v>
      </c>
      <c r="K5107" s="40">
        <f>VLOOKUP(J5107,辅助信息!H:I,2,FALSE)</f>
        <v>13980880820</v>
      </c>
      <c r="L5107" s="109" t="str">
        <f>VLOOKUP(B5107,辅助信息!E:J,6,FALSE)</f>
        <v>联系实际收货人（蔡浩13980880820）五冶建设送货单,6份材质书（司机拍照资料份数，该项目经常掉材质书和吊牌谎话连篇）,锈货不收，装货前联系收货人核实到场规格,没提前告知进场规格现场不给予接收</v>
      </c>
      <c r="M5107" s="91">
        <v>45960</v>
      </c>
      <c r="O5107" s="62">
        <f ca="1">IF(OR(M5107="",N5107&lt;&gt;""),"",MAX(M5107-TODAY(),0))</f>
        <v>0</v>
      </c>
      <c r="P5107" s="62">
        <f ca="1">IF(M5107="","",IF(N5107&lt;&gt;"",MAX(N5107-M5107,0),IF(TODAY()&gt;M5107,TODAY()-M5107,0)))</f>
        <v>0</v>
      </c>
      <c r="Q5107" s="29" t="str">
        <f>VLOOKUP(B5107,辅助信息!E:M,9,FALSE)</f>
        <v>ZTWM-CDGS-XS-2025-0073-五冶天府-成都怡心湖片区及龙泉驿医院等项目</v>
      </c>
      <c r="R5107" s="29" t="str">
        <f>_xlfn._xlws.FILTER(辅助信息!D:D,辅助信息!E:E=B5107)</f>
        <v>五冶建设师大附中外语校新建教学楼工程</v>
      </c>
    </row>
  </sheetData>
  <protectedRanges>
    <protectedRange sqref="M3348:M3353" name="区域1"/>
  </protectedRanges>
  <autoFilter ref="A1:Q5107">
    <filterColumn colId="2">
      <filters>
        <dateGroupItem year="2025" month="10" day="30"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28:A5035"/>
    <mergeCell ref="A5055:A5057"/>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77" operator="lessThan">
      <formula>TODAY()</formula>
    </cfRule>
  </conditionalFormatting>
  <conditionalFormatting sqref="L32:O32">
    <cfRule type="containsText" dxfId="1" priority="1984" operator="between" text="送货车型9.6米">
      <formula>NOT(ISERROR(SEARCH("送货车型9.6米",L32)))</formula>
    </cfRule>
  </conditionalFormatting>
  <conditionalFormatting sqref="L40:O40">
    <cfRule type="containsText" dxfId="1" priority="1981" operator="between" text="送货车型9.6米">
      <formula>NOT(ISERROR(SEARCH("送货车型9.6米",L40)))</formula>
    </cfRule>
  </conditionalFormatting>
  <conditionalFormatting sqref="L45:O45">
    <cfRule type="containsText" dxfId="1" priority="1983" operator="between" text="送货车型9.6米">
      <formula>NOT(ISERROR(SEARCH("送货车型9.6米",L45)))</formula>
    </cfRule>
  </conditionalFormatting>
  <conditionalFormatting sqref="L50:O50">
    <cfRule type="containsText" dxfId="1" priority="1980" operator="between" text="送货车型9.6米">
      <formula>NOT(ISERROR(SEARCH("送货车型9.6米",L50)))</formula>
    </cfRule>
  </conditionalFormatting>
  <conditionalFormatting sqref="L85:O85">
    <cfRule type="containsText" dxfId="1" priority="1975" operator="between" text="送货车型9.6米">
      <formula>NOT(ISERROR(SEARCH("送货车型9.6米",L85)))</formula>
    </cfRule>
  </conditionalFormatting>
  <conditionalFormatting sqref="L89:O89">
    <cfRule type="containsText" dxfId="1" priority="1974" operator="between" text="送货车型9.6米">
      <formula>NOT(ISERROR(SEARCH("送货车型9.6米",L89)))</formula>
    </cfRule>
  </conditionalFormatting>
  <conditionalFormatting sqref="L166:O166">
    <cfRule type="containsText" dxfId="1" priority="1970" operator="between" text="送货车型9.6米">
      <formula>NOT(ISERROR(SEARCH("送货车型9.6米",L166)))</formula>
    </cfRule>
  </conditionalFormatting>
  <conditionalFormatting sqref="L178:O178">
    <cfRule type="containsText" dxfId="1" priority="1965" operator="between" text="送货车型9.6米">
      <formula>NOT(ISERROR(SEARCH("送货车型9.6米",L178)))</formula>
    </cfRule>
  </conditionalFormatting>
  <conditionalFormatting sqref="L193:O193">
    <cfRule type="containsText" dxfId="1" priority="1962" operator="between" text="送货车型9.6米">
      <formula>NOT(ISERROR(SEARCH("送货车型9.6米",L193)))</formula>
    </cfRule>
  </conditionalFormatting>
  <conditionalFormatting sqref="L197:O197">
    <cfRule type="containsText" dxfId="1" priority="1961" operator="between" text="送货车型9.6米">
      <formula>NOT(ISERROR(SEARCH("送货车型9.6米",L197)))</formula>
    </cfRule>
  </conditionalFormatting>
  <conditionalFormatting sqref="L270:O270">
    <cfRule type="containsText" dxfId="1" priority="1941" operator="between" text="送货车型9.6米">
      <formula>NOT(ISERROR(SEARCH("送货车型9.6米",L270)))</formula>
    </cfRule>
  </conditionalFormatting>
  <conditionalFormatting sqref="L274:O274">
    <cfRule type="containsText" dxfId="1" priority="1940" operator="between" text="送货车型9.6米">
      <formula>NOT(ISERROR(SEARCH("送货车型9.6米",L274)))</formula>
    </cfRule>
  </conditionalFormatting>
  <conditionalFormatting sqref="L278:O278">
    <cfRule type="containsText" dxfId="1" priority="1939" operator="between" text="送货车型9.6米">
      <formula>NOT(ISERROR(SEARCH("送货车型9.6米",L278)))</formula>
    </cfRule>
  </conditionalFormatting>
  <conditionalFormatting sqref="L284:O284">
    <cfRule type="containsText" dxfId="1" priority="1938" operator="between" text="送货车型9.6米">
      <formula>NOT(ISERROR(SEARCH("送货车型9.6米",L284)))</formula>
    </cfRule>
  </conditionalFormatting>
  <conditionalFormatting sqref="L288:O288">
    <cfRule type="containsText" dxfId="1" priority="1937" operator="between" text="送货车型9.6米">
      <formula>NOT(ISERROR(SEARCH("送货车型9.6米",L288)))</formula>
    </cfRule>
  </conditionalFormatting>
  <conditionalFormatting sqref="L290:O290">
    <cfRule type="containsText" dxfId="1" priority="1936" operator="between" text="送货车型9.6米">
      <formula>NOT(ISERROR(SEARCH("送货车型9.6米",L290)))</formula>
    </cfRule>
  </conditionalFormatting>
  <conditionalFormatting sqref="L295:O295">
    <cfRule type="containsText" dxfId="1" priority="1935" operator="between" text="送货车型9.6米">
      <formula>NOT(ISERROR(SEARCH("送货车型9.6米",L295)))</formula>
    </cfRule>
  </conditionalFormatting>
  <conditionalFormatting sqref="L299:O299">
    <cfRule type="containsText" dxfId="1" priority="1934" operator="between" text="送货车型9.6米">
      <formula>NOT(ISERROR(SEARCH("送货车型9.6米",L299)))</formula>
    </cfRule>
  </conditionalFormatting>
  <conditionalFormatting sqref="L307:O307">
    <cfRule type="containsText" dxfId="1" priority="1933" operator="between" text="送货车型9.6米">
      <formula>NOT(ISERROR(SEARCH("送货车型9.6米",L307)))</formula>
    </cfRule>
  </conditionalFormatting>
  <conditionalFormatting sqref="L310:O310">
    <cfRule type="containsText" dxfId="1" priority="1932" operator="between" text="送货车型9.6米">
      <formula>NOT(ISERROR(SEARCH("送货车型9.6米",L310)))</formula>
    </cfRule>
  </conditionalFormatting>
  <conditionalFormatting sqref="L318">
    <cfRule type="containsText" dxfId="1" priority="1931" operator="between" text="送货车型9.6米">
      <formula>NOT(ISERROR(SEARCH("送货车型9.6米",L318)))</formula>
    </cfRule>
  </conditionalFormatting>
  <conditionalFormatting sqref="L328">
    <cfRule type="containsText" dxfId="1" priority="1930" operator="between" text="送货车型9.6米">
      <formula>NOT(ISERROR(SEARCH("送货车型9.6米",L328)))</formula>
    </cfRule>
  </conditionalFormatting>
  <conditionalFormatting sqref="L332">
    <cfRule type="containsText" dxfId="1" priority="1927" operator="between" text="送货车型9.6米">
      <formula>NOT(ISERROR(SEARCH("送货车型9.6米",L332)))</formula>
    </cfRule>
  </conditionalFormatting>
  <conditionalFormatting sqref="L350:O350">
    <cfRule type="containsText" dxfId="1" priority="1925" operator="between" text="送货车型9.6米">
      <formula>NOT(ISERROR(SEARCH("送货车型9.6米",L350)))</formula>
    </cfRule>
  </conditionalFormatting>
  <conditionalFormatting sqref="L353">
    <cfRule type="containsText" dxfId="1" priority="1919" operator="between" text="送货车型9.6米">
      <formula>NOT(ISERROR(SEARCH("送货车型9.6米",L353)))</formula>
    </cfRule>
  </conditionalFormatting>
  <conditionalFormatting sqref="L357">
    <cfRule type="containsText" dxfId="1" priority="1918" operator="between" text="送货车型9.6米">
      <formula>NOT(ISERROR(SEARCH("送货车型9.6米",L357)))</formula>
    </cfRule>
  </conditionalFormatting>
  <conditionalFormatting sqref="L362">
    <cfRule type="containsText" dxfId="1" priority="1917" operator="between" text="送货车型9.6米">
      <formula>NOT(ISERROR(SEARCH("送货车型9.6米",L362)))</formula>
    </cfRule>
  </conditionalFormatting>
  <conditionalFormatting sqref="L365">
    <cfRule type="containsText" dxfId="1" priority="1916" operator="between" text="送货车型9.6米">
      <formula>NOT(ISERROR(SEARCH("送货车型9.6米",L365)))</formula>
    </cfRule>
  </conditionalFormatting>
  <conditionalFormatting sqref="L368">
    <cfRule type="containsText" dxfId="1" priority="1915" operator="between" text="送货车型9.6米">
      <formula>NOT(ISERROR(SEARCH("送货车型9.6米",L368)))</formula>
    </cfRule>
  </conditionalFormatting>
  <conditionalFormatting sqref="L395">
    <cfRule type="containsText" dxfId="1" priority="1886" operator="between" text="送货车型9.6米">
      <formula>NOT(ISERROR(SEARCH("送货车型9.6米",L395)))</formula>
    </cfRule>
  </conditionalFormatting>
  <conditionalFormatting sqref="L417:O417">
    <cfRule type="containsText" dxfId="1" priority="1878" operator="between" text="送货车型9.6米">
      <formula>NOT(ISERROR(SEARCH("送货车型9.6米",L417)))</formula>
    </cfRule>
  </conditionalFormatting>
  <conditionalFormatting sqref="L509">
    <cfRule type="containsText" dxfId="1" priority="1876" operator="between" text="送货车型9.6米">
      <formula>NOT(ISERROR(SEARCH("送货车型9.6米",L509)))</formula>
    </cfRule>
  </conditionalFormatting>
  <conditionalFormatting sqref="L559">
    <cfRule type="containsText" dxfId="1" priority="1875" operator="between" text="送货车型9.6米">
      <formula>NOT(ISERROR(SEARCH("送货车型9.6米",L559)))</formula>
    </cfRule>
  </conditionalFormatting>
  <conditionalFormatting sqref="L702">
    <cfRule type="containsText" dxfId="1" priority="1870" operator="between" text="送货车型9.6米">
      <formula>NOT(ISERROR(SEARCH("送货车型9.6米",L702)))</formula>
    </cfRule>
  </conditionalFormatting>
  <conditionalFormatting sqref="L713">
    <cfRule type="containsText" dxfId="1" priority="1867" operator="between" text="送货车型9.6米">
      <formula>NOT(ISERROR(SEARCH("送货车型9.6米",L713)))</formula>
    </cfRule>
  </conditionalFormatting>
  <conditionalFormatting sqref="L719">
    <cfRule type="containsText" dxfId="1" priority="1860" operator="between" text="送货车型9.6米">
      <formula>NOT(ISERROR(SEARCH("送货车型9.6米",L719)))</formula>
    </cfRule>
  </conditionalFormatting>
  <conditionalFormatting sqref="L726">
    <cfRule type="containsText" dxfId="1" priority="1859" operator="between" text="送货车型9.6米">
      <formula>NOT(ISERROR(SEARCH("送货车型9.6米",L726)))</formula>
    </cfRule>
  </conditionalFormatting>
  <conditionalFormatting sqref="L733">
    <cfRule type="containsText" dxfId="1" priority="1852" operator="between" text="送货车型9.6米">
      <formula>NOT(ISERROR(SEARCH("送货车型9.6米",L733)))</formula>
    </cfRule>
  </conditionalFormatting>
  <conditionalFormatting sqref="L738">
    <cfRule type="containsText" dxfId="1" priority="1856" operator="between" text="送货车型9.6米">
      <formula>NOT(ISERROR(SEARCH("送货车型9.6米",L738)))</formula>
    </cfRule>
  </conditionalFormatting>
  <conditionalFormatting sqref="L740">
    <cfRule type="containsText" dxfId="1" priority="1854" operator="between" text="送货车型9.6米">
      <formula>NOT(ISERROR(SEARCH("送货车型9.6米",L740)))</formula>
    </cfRule>
  </conditionalFormatting>
  <conditionalFormatting sqref="L746">
    <cfRule type="containsText" dxfId="1" priority="1851" operator="between" text="送货车型9.6米">
      <formula>NOT(ISERROR(SEARCH("送货车型9.6米",L746)))</formula>
    </cfRule>
  </conditionalFormatting>
  <conditionalFormatting sqref="L752">
    <cfRule type="containsText" dxfId="1" priority="1805" operator="between" text="送货车型9.6米">
      <formula>NOT(ISERROR(SEARCH("送货车型9.6米",L752)))</formula>
    </cfRule>
  </conditionalFormatting>
  <conditionalFormatting sqref="L755">
    <cfRule type="containsText" dxfId="1" priority="1797" operator="between" text="送货车型9.6米">
      <formula>NOT(ISERROR(SEARCH("送货车型9.6米",L755)))</formula>
    </cfRule>
  </conditionalFormatting>
  <conditionalFormatting sqref="L767">
    <cfRule type="containsText" dxfId="1" priority="1791" operator="between" text="送货车型9.6米">
      <formula>NOT(ISERROR(SEARCH("送货车型9.6米",L767)))</formula>
    </cfRule>
  </conditionalFormatting>
  <conditionalFormatting sqref="L793">
    <cfRule type="containsText" dxfId="1" priority="1775" operator="between" text="送货车型9.6米">
      <formula>NOT(ISERROR(SEARCH("送货车型9.6米",L793)))</formula>
    </cfRule>
  </conditionalFormatting>
  <conditionalFormatting sqref="L795">
    <cfRule type="containsText" dxfId="1" priority="1784" operator="between" text="送货车型9.6米">
      <formula>NOT(ISERROR(SEARCH("送货车型9.6米",L795)))</formula>
    </cfRule>
  </conditionalFormatting>
  <conditionalFormatting sqref="L799">
    <cfRule type="containsText" dxfId="1" priority="1783" operator="between" text="送货车型9.6米">
      <formula>NOT(ISERROR(SEARCH("送货车型9.6米",L799)))</formula>
    </cfRule>
  </conditionalFormatting>
  <conditionalFormatting sqref="L801">
    <cfRule type="containsText" dxfId="1" priority="1779" operator="between" text="送货车型9.6米">
      <formula>NOT(ISERROR(SEARCH("送货车型9.6米",L801)))</formula>
    </cfRule>
  </conditionalFormatting>
  <conditionalFormatting sqref="L803:N803">
    <cfRule type="containsText" dxfId="1" priority="1778" operator="between" text="送货车型9.6米">
      <formula>NOT(ISERROR(SEARCH("送货车型9.6米",L803)))</formula>
    </cfRule>
  </conditionalFormatting>
  <conditionalFormatting sqref="L805">
    <cfRule type="containsText" dxfId="1" priority="1777" operator="between" text="送货车型9.6米">
      <formula>NOT(ISERROR(SEARCH("送货车型9.6米",L805)))</formula>
    </cfRule>
  </conditionalFormatting>
  <conditionalFormatting sqref="L809">
    <cfRule type="containsText" dxfId="1" priority="1776" operator="between" text="送货车型9.6米">
      <formula>NOT(ISERROR(SEARCH("送货车型9.6米",L809)))</formula>
    </cfRule>
  </conditionalFormatting>
  <conditionalFormatting sqref="L820">
    <cfRule type="containsText" dxfId="1" priority="1773" operator="between" text="送货车型9.6米">
      <formula>NOT(ISERROR(SEARCH("送货车型9.6米",L820)))</formula>
    </cfRule>
  </conditionalFormatting>
  <conditionalFormatting sqref="L825">
    <cfRule type="containsText" dxfId="1" priority="1770" operator="between" text="送货车型9.6米">
      <formula>NOT(ISERROR(SEARCH("送货车型9.6米",L825)))</formula>
    </cfRule>
  </conditionalFormatting>
  <conditionalFormatting sqref="L827">
    <cfRule type="containsText" dxfId="1" priority="1769" operator="between" text="送货车型9.6米">
      <formula>NOT(ISERROR(SEARCH("送货车型9.6米",L827)))</formula>
    </cfRule>
  </conditionalFormatting>
  <conditionalFormatting sqref="L883">
    <cfRule type="containsText" dxfId="1" priority="1746" operator="between" text="送货车型9.6米">
      <formula>NOT(ISERROR(SEARCH("送货车型9.6米",L883)))</formula>
    </cfRule>
  </conditionalFormatting>
  <conditionalFormatting sqref="L887">
    <cfRule type="containsText" dxfId="1" priority="1744" operator="between" text="送货车型9.6米">
      <formula>NOT(ISERROR(SEARCH("送货车型9.6米",L887)))</formula>
    </cfRule>
  </conditionalFormatting>
  <conditionalFormatting sqref="N887">
    <cfRule type="expression" dxfId="2" priority="1727">
      <formula>N887&gt;0</formula>
    </cfRule>
  </conditionalFormatting>
  <conditionalFormatting sqref="L894">
    <cfRule type="containsText" dxfId="1" priority="1743" operator="between" text="送货车型9.6米">
      <formula>NOT(ISERROR(SEARCH("送货车型9.6米",L894)))</formula>
    </cfRule>
  </conditionalFormatting>
  <conditionalFormatting sqref="L901">
    <cfRule type="containsText" dxfId="1" priority="1700" operator="between" text="送货车型9.6米">
      <formula>NOT(ISERROR(SEARCH("送货车型9.6米",L901)))</formula>
    </cfRule>
  </conditionalFormatting>
  <conditionalFormatting sqref="L905">
    <cfRule type="containsText" dxfId="1" priority="1698" operator="between" text="送货车型9.6米">
      <formula>NOT(ISERROR(SEARCH("送货车型9.6米",L905)))</formula>
    </cfRule>
  </conditionalFormatting>
  <conditionalFormatting sqref="L908">
    <cfRule type="containsText" dxfId="1" priority="1697" operator="between" text="送货车型9.6米">
      <formula>NOT(ISERROR(SEARCH("送货车型9.6米",L908)))</formula>
    </cfRule>
  </conditionalFormatting>
  <conditionalFormatting sqref="L911">
    <cfRule type="containsText" dxfId="1" priority="1696" operator="between" text="送货车型9.6米">
      <formula>NOT(ISERROR(SEARCH("送货车型9.6米",L911)))</formula>
    </cfRule>
  </conditionalFormatting>
  <conditionalFormatting sqref="L923">
    <cfRule type="containsText" dxfId="1" priority="1693" operator="between" text="送货车型9.6米">
      <formula>NOT(ISERROR(SEARCH("送货车型9.6米",L923)))</formula>
    </cfRule>
  </conditionalFormatting>
  <conditionalFormatting sqref="L951">
    <cfRule type="containsText" dxfId="1" priority="1691" operator="between" text="送货车型9.6米">
      <formula>NOT(ISERROR(SEARCH("送货车型9.6米",L951)))</formula>
    </cfRule>
  </conditionalFormatting>
  <conditionalFormatting sqref="L955">
    <cfRule type="containsText" dxfId="1" priority="1603" operator="between" text="送货车型9.6米">
      <formula>NOT(ISERROR(SEARCH("送货车型9.6米",L955)))</formula>
    </cfRule>
  </conditionalFormatting>
  <conditionalFormatting sqref="L961">
    <cfRule type="containsText" dxfId="1" priority="1602" operator="between" text="送货车型9.6米">
      <formula>NOT(ISERROR(SEARCH("送货车型9.6米",L961)))</formula>
    </cfRule>
  </conditionalFormatting>
  <conditionalFormatting sqref="L964">
    <cfRule type="containsText" dxfId="1" priority="1601" operator="between" text="送货车型9.6米">
      <formula>NOT(ISERROR(SEARCH("送货车型9.6米",L964)))</formula>
    </cfRule>
  </conditionalFormatting>
  <conditionalFormatting sqref="L972">
    <cfRule type="containsText" dxfId="1" priority="1598" operator="between" text="送货车型9.6米">
      <formula>NOT(ISERROR(SEARCH("送货车型9.6米",L972)))</formula>
    </cfRule>
  </conditionalFormatting>
  <conditionalFormatting sqref="L976">
    <cfRule type="containsText" dxfId="1" priority="1597" operator="between" text="送货车型9.6米">
      <formula>NOT(ISERROR(SEARCH("送货车型9.6米",L976)))</formula>
    </cfRule>
  </conditionalFormatting>
  <conditionalFormatting sqref="L981">
    <cfRule type="containsText" dxfId="1" priority="1596" operator="between" text="送货车型9.6米">
      <formula>NOT(ISERROR(SEARCH("送货车型9.6米",L981)))</formula>
    </cfRule>
  </conditionalFormatting>
  <conditionalFormatting sqref="L987">
    <cfRule type="containsText" dxfId="1" priority="1595" operator="between" text="送货车型9.6米">
      <formula>NOT(ISERROR(SEARCH("送货车型9.6米",L987)))</formula>
    </cfRule>
  </conditionalFormatting>
  <conditionalFormatting sqref="L991">
    <cfRule type="containsText" dxfId="1" priority="1594" operator="between" text="送货车型9.6米">
      <formula>NOT(ISERROR(SEARCH("送货车型9.6米",L991)))</formula>
    </cfRule>
  </conditionalFormatting>
  <conditionalFormatting sqref="L998:O998">
    <cfRule type="containsText" dxfId="1" priority="1396" operator="between" text="送货车型9.6米">
      <formula>NOT(ISERROR(SEARCH("送货车型9.6米",L998)))</formula>
    </cfRule>
  </conditionalFormatting>
  <conditionalFormatting sqref="L1004">
    <cfRule type="containsText" dxfId="1" priority="1377" operator="between" text="送货车型9.6米">
      <formula>NOT(ISERROR(SEARCH("送货车型9.6米",L1004)))</formula>
    </cfRule>
  </conditionalFormatting>
  <conditionalFormatting sqref="L1006">
    <cfRule type="containsText" dxfId="1" priority="1381" operator="between" text="送货车型9.6米">
      <formula>NOT(ISERROR(SEARCH("送货车型9.6米",L1006)))</formula>
    </cfRule>
  </conditionalFormatting>
  <conditionalFormatting sqref="L1008">
    <cfRule type="containsText" dxfId="1" priority="1380" operator="between" text="送货车型9.6米">
      <formula>NOT(ISERROR(SEARCH("送货车型9.6米",L1008)))</formula>
    </cfRule>
  </conditionalFormatting>
  <conditionalFormatting sqref="L1012">
    <cfRule type="containsText" dxfId="1" priority="1379" operator="between" text="送货车型9.6米">
      <formula>NOT(ISERROR(SEARCH("送货车型9.6米",L1012)))</formula>
    </cfRule>
  </conditionalFormatting>
  <conditionalFormatting sqref="L1017">
    <cfRule type="containsText" dxfId="1" priority="1378" operator="between" text="送货车型9.6米">
      <formula>NOT(ISERROR(SEARCH("送货车型9.6米",L1017)))</formula>
    </cfRule>
  </conditionalFormatting>
  <conditionalFormatting sqref="L1028">
    <cfRule type="containsText" dxfId="1" priority="1356" operator="between" text="送货车型9.6米">
      <formula>NOT(ISERROR(SEARCH("送货车型9.6米",L1028)))</formula>
    </cfRule>
  </conditionalFormatting>
  <conditionalFormatting sqref="L1032">
    <cfRule type="containsText" dxfId="1" priority="1355" operator="between" text="送货车型9.6米">
      <formula>NOT(ISERROR(SEARCH("送货车型9.6米",L1032)))</formula>
    </cfRule>
  </conditionalFormatting>
  <conditionalFormatting sqref="L1034">
    <cfRule type="containsText" dxfId="1" priority="1354" operator="between" text="送货车型9.6米">
      <formula>NOT(ISERROR(SEARCH("送货车型9.6米",L1034)))</formula>
    </cfRule>
  </conditionalFormatting>
  <conditionalFormatting sqref="L1041">
    <cfRule type="containsText" dxfId="1" priority="1353" operator="between" text="送货车型9.6米">
      <formula>NOT(ISERROR(SEARCH("送货车型9.6米",L1041)))</formula>
    </cfRule>
  </conditionalFormatting>
  <conditionalFormatting sqref="L1045">
    <cfRule type="containsText" dxfId="1" priority="1352" operator="between" text="送货车型9.6米">
      <formula>NOT(ISERROR(SEARCH("送货车型9.6米",L1045)))</formula>
    </cfRule>
  </conditionalFormatting>
  <conditionalFormatting sqref="L1050">
    <cfRule type="containsText" dxfId="1" priority="1351" operator="between" text="送货车型9.6米">
      <formula>NOT(ISERROR(SEARCH("送货车型9.6米",L1050)))</formula>
    </cfRule>
  </conditionalFormatting>
  <conditionalFormatting sqref="L1054">
    <cfRule type="containsText" dxfId="1" priority="1350" operator="between" text="送货车型9.6米">
      <formula>NOT(ISERROR(SEARCH("送货车型9.6米",L1054)))</formula>
    </cfRule>
  </conditionalFormatting>
  <conditionalFormatting sqref="L1056">
    <cfRule type="containsText" dxfId="1" priority="1349" operator="between" text="送货车型9.6米">
      <formula>NOT(ISERROR(SEARCH("送货车型9.6米",L1056)))</formula>
    </cfRule>
  </conditionalFormatting>
  <conditionalFormatting sqref="L1059">
    <cfRule type="containsText" dxfId="1" priority="1348" operator="between" text="送货车型9.6米">
      <formula>NOT(ISERROR(SEARCH("送货车型9.6米",L1059)))</formula>
    </cfRule>
  </conditionalFormatting>
  <conditionalFormatting sqref="L1062">
    <cfRule type="containsText" dxfId="1" priority="1347" operator="between" text="送货车型9.6米">
      <formula>NOT(ISERROR(SEARCH("送货车型9.6米",L1062)))</formula>
    </cfRule>
  </conditionalFormatting>
  <conditionalFormatting sqref="L1066">
    <cfRule type="containsText" dxfId="1" priority="1346" operator="between" text="送货车型9.6米">
      <formula>NOT(ISERROR(SEARCH("送货车型9.6米",L1066)))</formula>
    </cfRule>
  </conditionalFormatting>
  <conditionalFormatting sqref="D1419:E1419">
    <cfRule type="expression" dxfId="3" priority="7712">
      <formula>AND(NOT(HasFormula(XEZ1419)),XEZ1419&lt;&gt;"")</formula>
    </cfRule>
    <cfRule type="expression" dxfId="4" priority="7711">
      <formula>AND(NOT(HasFormula(#REF!)),#REF!&lt;&gt;"")</formula>
    </cfRule>
  </conditionalFormatting>
  <conditionalFormatting sqref="H1419:L1419">
    <cfRule type="expression" dxfId="4" priority="7713">
      <formula>AND(NOT(HasFormula(#REF!)),#REF!&lt;&gt;"")</formula>
    </cfRule>
    <cfRule type="expression" dxfId="3" priority="7714">
      <formula>AND(NOT(HasFormula(XFD1419)),XFD1419&lt;&gt;"")</formula>
    </cfRule>
  </conditionalFormatting>
  <conditionalFormatting sqref="D1420">
    <cfRule type="expression" dxfId="4" priority="7667">
      <formula>AND(NOT(HasFormula(XFD1422)),XFD1422&lt;&gt;"")</formula>
    </cfRule>
    <cfRule type="expression" dxfId="3" priority="7668">
      <formula>AND(NOT(HasFormula(XEZ1420)),XEZ1420&lt;&gt;"")</formula>
    </cfRule>
  </conditionalFormatting>
  <conditionalFormatting sqref="D1421">
    <cfRule type="expression" dxfId="4" priority="7659">
      <formula>AND(NOT(HasFormula(#REF!)),#REF!&lt;&gt;"")</formula>
    </cfRule>
    <cfRule type="expression" dxfId="3" priority="7660">
      <formula>AND(NOT(HasFormula(XEZ1421)),XEZ1421&lt;&gt;"")</formula>
    </cfRule>
  </conditionalFormatting>
  <conditionalFormatting sqref="H1428:L1428">
    <cfRule type="expression" dxfId="4" priority="7683">
      <formula>AND(NOT(HasFormula(D1432)),D1432&lt;&gt;"")</formula>
    </cfRule>
    <cfRule type="expression" dxfId="3" priority="7684">
      <formula>AND(NOT(HasFormula(XFD1428)),XFD1428&lt;&gt;"")</formula>
    </cfRule>
  </conditionalFormatting>
  <conditionalFormatting sqref="H1431:L1431">
    <cfRule type="expression" dxfId="4" priority="7691">
      <formula>AND(NOT(HasFormula(D1435)),D1435&lt;&gt;"")</formula>
    </cfRule>
    <cfRule type="expression" dxfId="3" priority="7692">
      <formula>AND(NOT(HasFormula(XFD1431)),XFD1431&lt;&gt;"")</formula>
    </cfRule>
  </conditionalFormatting>
  <conditionalFormatting sqref="D1487:E1487">
    <cfRule type="expression" dxfId="4" priority="7735">
      <formula>AND(NOT(HasFormula(#REF!)),#REF!&lt;&gt;"")</formula>
    </cfRule>
    <cfRule type="expression" dxfId="3" priority="7736">
      <formula>AND(NOT(HasFormula(XEZ1487)),XEZ1487&lt;&gt;"")</formula>
    </cfRule>
  </conditionalFormatting>
  <conditionalFormatting sqref="H1487:L1487">
    <cfRule type="expression" dxfId="4" priority="7737">
      <formula>AND(NOT(HasFormula(#REF!)),#REF!&lt;&gt;"")</formula>
    </cfRule>
    <cfRule type="expression" dxfId="3" priority="7738">
      <formula>AND(NOT(HasFormula(XFD1487)),XFD1487&lt;&gt;"")</formula>
    </cfRule>
  </conditionalFormatting>
  <conditionalFormatting sqref="D1497:E1497">
    <cfRule type="expression" dxfId="4" priority="7753">
      <formula>AND(NOT(HasFormula(#REF!)),#REF!&lt;&gt;"")</formula>
    </cfRule>
    <cfRule type="expression" dxfId="3" priority="7754">
      <formula>AND(NOT(HasFormula(XEZ1497)),XEZ1497&lt;&gt;"")</formula>
    </cfRule>
  </conditionalFormatting>
  <conditionalFormatting sqref="H1497:L1497">
    <cfRule type="expression" dxfId="4" priority="7755">
      <formula>AND(NOT(HasFormula(#REF!)),#REF!&lt;&gt;"")</formula>
    </cfRule>
    <cfRule type="expression" dxfId="3" priority="7756">
      <formula>AND(NOT(HasFormula(XFD1497)),XFD1497&lt;&gt;"")</formula>
    </cfRule>
  </conditionalFormatting>
  <conditionalFormatting sqref="D1502:E1502">
    <cfRule type="expression" dxfId="4" priority="7741">
      <formula>AND(NOT(HasFormula(#REF!)),#REF!&lt;&gt;"")</formula>
    </cfRule>
    <cfRule type="expression" dxfId="3" priority="7742">
      <formula>AND(NOT(HasFormula(XEZ1502)),XEZ1502&lt;&gt;"")</formula>
    </cfRule>
  </conditionalFormatting>
  <conditionalFormatting sqref="D1503:E1503">
    <cfRule type="expression" dxfId="4" priority="966">
      <formula>AND(NOT(HasFormula(XFD1506)),XFD1506&lt;&gt;"")</formula>
    </cfRule>
    <cfRule type="expression" dxfId="3" priority="967">
      <formula>AND(NOT(HasFormula(XEZ1503)),XEZ1503&lt;&gt;"")</formula>
    </cfRule>
  </conditionalFormatting>
  <conditionalFormatting sqref="D1504:E1504">
    <cfRule type="expression" dxfId="4" priority="996">
      <formula>AND(NOT(HasFormula(XFD1505)),XFD1505&lt;&gt;"")</formula>
    </cfRule>
  </conditionalFormatting>
  <conditionalFormatting sqref="D1505:E1505">
    <cfRule type="expression" dxfId="4" priority="995">
      <formula>AND(NOT(HasFormula(XFD1514)),XFD1514&lt;&gt;"")</formula>
    </cfRule>
  </conditionalFormatting>
  <conditionalFormatting sqref="D1513:E1513">
    <cfRule type="expression" dxfId="4" priority="997">
      <formula>AND(NOT(HasFormula(XFD1504)),XFD1504&lt;&gt;"")</formula>
    </cfRule>
  </conditionalFormatting>
  <conditionalFormatting sqref="D1563">
    <cfRule type="expression" dxfId="4" priority="7761">
      <formula>AND(NOT(HasFormula(#REF!)),#REF!&lt;&gt;"")</formula>
    </cfRule>
  </conditionalFormatting>
  <conditionalFormatting sqref="H1563">
    <cfRule type="expression" dxfId="4" priority="7771">
      <formula>AND(NOT(HasFormula(#REF!)),#REF!&lt;&gt;"")</formula>
    </cfRule>
    <cfRule type="expression" dxfId="3" priority="7772">
      <formula>AND(NOT(HasFormula(XFD1563)),XFD1563&lt;&gt;"")</formula>
    </cfRule>
  </conditionalFormatting>
  <conditionalFormatting sqref="I1563:L1563">
    <cfRule type="expression" dxfId="4" priority="7757">
      <formula>AND(NOT(HasFormula(#REF!)),#REF!&lt;&gt;"")</formula>
    </cfRule>
    <cfRule type="expression" dxfId="3" priority="7758">
      <formula>AND(NOT(HasFormula(A1563)),A1563&lt;&gt;"")</formula>
    </cfRule>
  </conditionalFormatting>
  <conditionalFormatting sqref="D1565">
    <cfRule type="expression" dxfId="4" priority="7776">
      <formula>AND(NOT(HasFormula(#REF!)),#REF!&lt;&gt;"")</formula>
    </cfRule>
  </conditionalFormatting>
  <conditionalFormatting sqref="E1565">
    <cfRule type="expression" dxfId="4" priority="7773">
      <formula>AND(NOT(HasFormula(#REF!)),#REF!&lt;&gt;"")</formula>
    </cfRule>
  </conditionalFormatting>
  <conditionalFormatting sqref="H1565">
    <cfRule type="expression" dxfId="4" priority="7774">
      <formula>AND(NOT(HasFormula(#REF!)),#REF!&lt;&gt;"")</formula>
    </cfRule>
    <cfRule type="expression" dxfId="3" priority="7775">
      <formula>AND(NOT(HasFormula(XFD1565)),XFD1565&lt;&gt;"")</formula>
    </cfRule>
  </conditionalFormatting>
  <conditionalFormatting sqref="I1565:L1565">
    <cfRule type="expression" dxfId="4" priority="7777">
      <formula>AND(NOT(HasFormula(#REF!)),#REF!&lt;&gt;"")</formula>
    </cfRule>
    <cfRule type="expression" dxfId="3" priority="7778">
      <formula>AND(NOT(HasFormula(A1565)),A1565&lt;&gt;"")</formula>
    </cfRule>
  </conditionalFormatting>
  <conditionalFormatting sqref="D1609">
    <cfRule type="expression" dxfId="4" priority="7784">
      <formula>AND(NOT(HasFormula(#REF!)),#REF!&lt;&gt;"")</formula>
    </cfRule>
  </conditionalFormatting>
  <conditionalFormatting sqref="E1609">
    <cfRule type="expression" dxfId="4" priority="7785">
      <formula>AND(NOT(HasFormula(#REF!)),#REF!&lt;&gt;"")</formula>
    </cfRule>
  </conditionalFormatting>
  <conditionalFormatting sqref="H1609">
    <cfRule type="expression" dxfId="4" priority="7782">
      <formula>AND(NOT(HasFormula(#REF!)),#REF!&lt;&gt;"")</formula>
    </cfRule>
    <cfRule type="expression" dxfId="3" priority="7783">
      <formula>AND(NOT(HasFormula(XFD1609)),XFD1609&lt;&gt;"")</formula>
    </cfRule>
  </conditionalFormatting>
  <conditionalFormatting sqref="I1609:L1609">
    <cfRule type="expression" dxfId="4" priority="7786">
      <formula>AND(NOT(HasFormula(#REF!)),#REF!&lt;&gt;"")</formula>
    </cfRule>
    <cfRule type="expression" dxfId="3" priority="7787">
      <formula>AND(NOT(HasFormula(A1609)),A1609&lt;&gt;"")</formula>
    </cfRule>
  </conditionalFormatting>
  <conditionalFormatting sqref="M1630:O1630">
    <cfRule type="containsText" dxfId="1" priority="926" operator="between" text="送货车型9.6米">
      <formula>NOT(ISERROR(SEARCH("送货车型9.6米",M1630)))</formula>
    </cfRule>
  </conditionalFormatting>
  <conditionalFormatting sqref="M1631:O1631">
    <cfRule type="containsText" dxfId="1" priority="895" operator="between" text="送货车型9.6米">
      <formula>NOT(ISERROR(SEARCH("送货车型9.6米",M1631)))</formula>
    </cfRule>
  </conditionalFormatting>
  <conditionalFormatting sqref="M1632:O1632">
    <cfRule type="containsText" dxfId="1" priority="894" operator="between" text="送货车型9.6米">
      <formula>NOT(ISERROR(SEARCH("送货车型9.6米",M1632)))</formula>
    </cfRule>
  </conditionalFormatting>
  <conditionalFormatting sqref="M1633:O1633">
    <cfRule type="containsText" dxfId="1" priority="893" operator="between" text="送货车型9.6米">
      <formula>NOT(ISERROR(SEARCH("送货车型9.6米",M1633)))</formula>
    </cfRule>
  </conditionalFormatting>
  <conditionalFormatting sqref="M1634:O1634">
    <cfRule type="containsText" dxfId="1" priority="892" operator="between" text="送货车型9.6米">
      <formula>NOT(ISERROR(SEARCH("送货车型9.6米",M1634)))</formula>
    </cfRule>
  </conditionalFormatting>
  <conditionalFormatting sqref="D1650:E1650">
    <cfRule type="expression" dxfId="3" priority="879">
      <formula>AND(NOT(HasFormula(XEZ1650)),XEZ1650&lt;&gt;"")</formula>
    </cfRule>
  </conditionalFormatting>
  <conditionalFormatting sqref="D1650">
    <cfRule type="expression" dxfId="2" priority="877">
      <formula>AND(NOT(_xlfn.ISFORMULA(D1650)),D1650&lt;&gt;"")</formula>
    </cfRule>
    <cfRule type="expression" dxfId="4" priority="878">
      <formula>AND(NOT(HasFormula(#REF!)),#REF!&lt;&gt;"")</formula>
    </cfRule>
  </conditionalFormatting>
  <conditionalFormatting sqref="E1650">
    <cfRule type="expression" dxfId="4" priority="886">
      <formula>AND(NOT(HasFormula(#REF!)),#REF!&lt;&gt;"")</formula>
    </cfRule>
  </conditionalFormatting>
  <conditionalFormatting sqref="F1650">
    <cfRule type="containsText" dxfId="5" priority="881" operator="between" text="HRB500E">
      <formula>NOT(ISERROR(SEARCH("HRB500E",F1650)))</formula>
    </cfRule>
    <cfRule type="containsText" dxfId="6" priority="880" operator="between" text="12m">
      <formula>NOT(ISERROR(SEARCH("12m",F1650)))</formula>
    </cfRule>
  </conditionalFormatting>
  <conditionalFormatting sqref="H1650">
    <cfRule type="expression" dxfId="4" priority="882">
      <formula>AND(NOT(HasFormula(#REF!)),#REF!&lt;&gt;"")</formula>
    </cfRule>
    <cfRule type="expression" dxfId="3" priority="883">
      <formula>AND(NOT(HasFormula(XFD1650)),XFD1650&lt;&gt;"")</formula>
    </cfRule>
  </conditionalFormatting>
  <conditionalFormatting sqref="I1650:L1650">
    <cfRule type="expression" dxfId="4" priority="884">
      <formula>AND(NOT(HasFormula(#REF!)),#REF!&lt;&gt;"")</formula>
    </cfRule>
    <cfRule type="expression" dxfId="3" priority="885">
      <formula>AND(NOT(HasFormula(A1650)),A1650&lt;&gt;"")</formula>
    </cfRule>
  </conditionalFormatting>
  <conditionalFormatting sqref="L1650:N1650">
    <cfRule type="containsText" dxfId="1" priority="876" operator="between" text="送货车型9.6米">
      <formula>NOT(ISERROR(SEARCH("送货车型9.6米",L1650)))</formula>
    </cfRule>
  </conditionalFormatting>
  <conditionalFormatting sqref="O1650">
    <cfRule type="containsText" dxfId="1" priority="874" operator="between" text="送货车型9.6米">
      <formula>NOT(ISERROR(SEARCH("送货车型9.6米",O1650)))</formula>
    </cfRule>
  </conditionalFormatting>
  <conditionalFormatting sqref="O1665">
    <cfRule type="containsText" dxfId="1" priority="873" operator="between" text="送货车型9.6米">
      <formula>NOT(ISERROR(SEARCH("送货车型9.6米",O1665)))</formula>
    </cfRule>
  </conditionalFormatting>
  <conditionalFormatting sqref="O1666">
    <cfRule type="containsText" dxfId="1" priority="872" operator="between" text="送货车型9.6米">
      <formula>NOT(ISERROR(SEARCH("送货车型9.6米",O1666)))</formula>
    </cfRule>
  </conditionalFormatting>
  <conditionalFormatting sqref="O1667">
    <cfRule type="containsText" dxfId="1" priority="871" operator="between" text="送货车型9.6米">
      <formula>NOT(ISERROR(SEARCH("送货车型9.6米",O1667)))</formula>
    </cfRule>
  </conditionalFormatting>
  <conditionalFormatting sqref="O1668">
    <cfRule type="containsText" dxfId="1" priority="870" operator="between" text="送货车型9.6米">
      <formula>NOT(ISERROR(SEARCH("送货车型9.6米",O1668)))</formula>
    </cfRule>
  </conditionalFormatting>
  <conditionalFormatting sqref="O1669">
    <cfRule type="containsText" dxfId="1" priority="869" operator="between" text="送货车型9.6米">
      <formula>NOT(ISERROR(SEARCH("送货车型9.6米",O1669)))</formula>
    </cfRule>
  </conditionalFormatting>
  <conditionalFormatting sqref="O1670">
    <cfRule type="containsText" dxfId="1" priority="868" operator="between" text="送货车型9.6米">
      <formula>NOT(ISERROR(SEARCH("送货车型9.6米",O1670)))</formula>
    </cfRule>
  </conditionalFormatting>
  <conditionalFormatting sqref="O1671">
    <cfRule type="containsText" dxfId="1" priority="867" operator="between" text="送货车型9.6米">
      <formula>NOT(ISERROR(SEARCH("送货车型9.6米",O1671)))</formula>
    </cfRule>
  </conditionalFormatting>
  <conditionalFormatting sqref="O1672">
    <cfRule type="containsText" dxfId="1" priority="866" operator="between" text="送货车型9.6米">
      <formula>NOT(ISERROR(SEARCH("送货车型9.6米",O1672)))</formula>
    </cfRule>
  </conditionalFormatting>
  <conditionalFormatting sqref="N1673">
    <cfRule type="containsText" dxfId="1" priority="865" operator="between" text="送货车型9.6米">
      <formula>NOT(ISERROR(SEARCH("送货车型9.6米",N1673)))</formula>
    </cfRule>
  </conditionalFormatting>
  <conditionalFormatting sqref="O1673">
    <cfRule type="containsText" dxfId="1" priority="861" operator="between" text="送货车型9.6米">
      <formula>NOT(ISERROR(SEARCH("送货车型9.6米",O1673)))</formula>
    </cfRule>
  </conditionalFormatting>
  <conditionalFormatting sqref="N1674">
    <cfRule type="containsText" dxfId="1" priority="864" operator="between" text="送货车型9.6米">
      <formula>NOT(ISERROR(SEARCH("送货车型9.6米",N1674)))</formula>
    </cfRule>
  </conditionalFormatting>
  <conditionalFormatting sqref="O1674">
    <cfRule type="containsText" dxfId="1" priority="860" operator="between" text="送货车型9.6米">
      <formula>NOT(ISERROR(SEARCH("送货车型9.6米",O1674)))</formula>
    </cfRule>
  </conditionalFormatting>
  <conditionalFormatting sqref="N1675">
    <cfRule type="containsText" dxfId="1" priority="863" operator="between" text="送货车型9.6米">
      <formula>NOT(ISERROR(SEARCH("送货车型9.6米",N1675)))</formula>
    </cfRule>
  </conditionalFormatting>
  <conditionalFormatting sqref="O1675">
    <cfRule type="containsText" dxfId="1" priority="859" operator="between" text="送货车型9.6米">
      <formula>NOT(ISERROR(SEARCH("送货车型9.6米",O1675)))</formula>
    </cfRule>
  </conditionalFormatting>
  <conditionalFormatting sqref="N1676">
    <cfRule type="containsText" dxfId="1" priority="862" operator="between" text="送货车型9.6米">
      <formula>NOT(ISERROR(SEARCH("送货车型9.6米",N1676)))</formula>
    </cfRule>
  </conditionalFormatting>
  <conditionalFormatting sqref="O1676">
    <cfRule type="containsText" dxfId="1" priority="858" operator="between" text="送货车型9.6米">
      <formula>NOT(ISERROR(SEARCH("送货车型9.6米",O1676)))</formula>
    </cfRule>
  </conditionalFormatting>
  <conditionalFormatting sqref="M1811:O1811">
    <cfRule type="containsText" dxfId="1" priority="853" operator="between" text="送货车型9.6米">
      <formula>NOT(ISERROR(SEARCH("送货车型9.6米",M1811)))</formula>
    </cfRule>
  </conditionalFormatting>
  <conditionalFormatting sqref="D1844">
    <cfRule type="expression" dxfId="4" priority="7826">
      <formula>AND(NOT(HasFormula(XFD1846)),XFD1846&lt;&gt;"")</formula>
    </cfRule>
  </conditionalFormatting>
  <conditionalFormatting sqref="E1844">
    <cfRule type="expression" dxfId="4" priority="7827">
      <formula>AND(NOT(HasFormula(A1846)),A1846&lt;&gt;"")</formula>
    </cfRule>
  </conditionalFormatting>
  <conditionalFormatting sqref="H1844">
    <cfRule type="expression" dxfId="4" priority="7824">
      <formula>AND(NOT(HasFormula(D1846)),D1846&lt;&gt;"")</formula>
    </cfRule>
    <cfRule type="expression" dxfId="3" priority="7825">
      <formula>AND(NOT(HasFormula(XFD1844)),XFD1844&lt;&gt;"")</formula>
    </cfRule>
  </conditionalFormatting>
  <conditionalFormatting sqref="I1844:L1844">
    <cfRule type="expression" dxfId="4" priority="7828">
      <formula>AND(NOT(HasFormula(E1846)),E1846&lt;&gt;"")</formula>
    </cfRule>
    <cfRule type="expression" dxfId="3" priority="7829">
      <formula>AND(NOT(HasFormula(A1844)),A1844&lt;&gt;"")</formula>
    </cfRule>
  </conditionalFormatting>
  <conditionalFormatting sqref="C1845">
    <cfRule type="timePeriod" dxfId="7" priority="840" timePeriod="yesterday">
      <formula>FLOOR(C1845,1)=TODAY()-1</formula>
    </cfRule>
  </conditionalFormatting>
  <conditionalFormatting sqref="D1845:E1845">
    <cfRule type="expression" dxfId="3" priority="845">
      <formula>AND(NOT(HasFormula(XEZ1845)),XEZ1845&lt;&gt;"")</formula>
    </cfRule>
  </conditionalFormatting>
  <conditionalFormatting sqref="D1845">
    <cfRule type="expression" dxfId="4" priority="844">
      <formula>AND(NOT(HasFormula(XFD1846)),XFD1846&lt;&gt;"")</formula>
    </cfRule>
    <cfRule type="expression" dxfId="2" priority="842">
      <formula>AND(NOT(_xlfn.ISFORMULA(D1845)),D1845&lt;&gt;"")</formula>
    </cfRule>
  </conditionalFormatting>
  <conditionalFormatting sqref="E1845">
    <cfRule type="expression" dxfId="4" priority="852">
      <formula>AND(NOT(HasFormula(A1846)),A1846&lt;&gt;"")</formula>
    </cfRule>
  </conditionalFormatting>
  <conditionalFormatting sqref="F1845">
    <cfRule type="containsText" dxfId="5" priority="847" operator="between" text="HRB500E">
      <formula>NOT(ISERROR(SEARCH("HRB500E",F1845)))</formula>
    </cfRule>
    <cfRule type="containsText" dxfId="6" priority="846" operator="between" text="12m">
      <formula>NOT(ISERROR(SEARCH("12m",F1845)))</formula>
    </cfRule>
  </conditionalFormatting>
  <conditionalFormatting sqref="H1845">
    <cfRule type="expression" dxfId="3" priority="849">
      <formula>AND(NOT(HasFormula(XFD1845)),XFD1845&lt;&gt;"")</formula>
    </cfRule>
    <cfRule type="expression" dxfId="4" priority="848">
      <formula>AND(NOT(HasFormula(D1846)),D1846&lt;&gt;"")</formula>
    </cfRule>
  </conditionalFormatting>
  <conditionalFormatting sqref="I1845:L1845">
    <cfRule type="expression" dxfId="3" priority="851">
      <formula>AND(NOT(HasFormula(A1845)),A1845&lt;&gt;"")</formula>
    </cfRule>
    <cfRule type="expression" dxfId="4" priority="850">
      <formula>AND(NOT(HasFormula(E1846)),E1846&lt;&gt;"")</formula>
    </cfRule>
  </conditionalFormatting>
  <conditionalFormatting sqref="L1845:O1845">
    <cfRule type="containsText" dxfId="1" priority="841" operator="between" text="送货车型9.6米">
      <formula>NOT(ISERROR(SEARCH("送货车型9.6米",L1845)))</formula>
    </cfRule>
  </conditionalFormatting>
  <conditionalFormatting sqref="H1846">
    <cfRule type="expression" dxfId="3" priority="839">
      <formula>AND(NOT(HasFormula(XFD1846)),XFD1846&lt;&gt;"")</formula>
    </cfRule>
    <cfRule type="expression" dxfId="4" priority="838">
      <formula>AND(NOT(HasFormula(D1847)),D1847&lt;&gt;"")</formula>
    </cfRule>
  </conditionalFormatting>
  <conditionalFormatting sqref="O1871">
    <cfRule type="containsText" dxfId="1" priority="823" operator="between" text="送货车型9.6米">
      <formula>NOT(ISERROR(SEARCH("送货车型9.6米",O1871)))</formula>
    </cfRule>
  </conditionalFormatting>
  <conditionalFormatting sqref="O1872">
    <cfRule type="containsText" dxfId="1" priority="822" operator="between" text="送货车型9.6米">
      <formula>NOT(ISERROR(SEARCH("送货车型9.6米",O1872)))</formula>
    </cfRule>
  </conditionalFormatting>
  <conditionalFormatting sqref="O1873">
    <cfRule type="containsText" dxfId="1" priority="821" operator="between" text="送货车型9.6米">
      <formula>NOT(ISERROR(SEARCH("送货车型9.6米",O1873)))</formula>
    </cfRule>
  </conditionalFormatting>
  <conditionalFormatting sqref="O1874">
    <cfRule type="containsText" dxfId="1" priority="820" operator="between" text="送货车型9.6米">
      <formula>NOT(ISERROR(SEARCH("送货车型9.6米",O1874)))</formula>
    </cfRule>
  </conditionalFormatting>
  <conditionalFormatting sqref="O1875">
    <cfRule type="containsText" dxfId="1" priority="819" operator="between" text="送货车型9.6米">
      <formula>NOT(ISERROR(SEARCH("送货车型9.6米",O1875)))</formula>
    </cfRule>
  </conditionalFormatting>
  <conditionalFormatting sqref="O1876">
    <cfRule type="containsText" dxfId="1" priority="818" operator="between" text="送货车型9.6米">
      <formula>NOT(ISERROR(SEARCH("送货车型9.6米",O1876)))</formula>
    </cfRule>
  </conditionalFormatting>
  <conditionalFormatting sqref="O1877">
    <cfRule type="containsText" dxfId="1" priority="817" operator="between" text="送货车型9.6米">
      <formula>NOT(ISERROR(SEARCH("送货车型9.6米",O1877)))</formula>
    </cfRule>
  </conditionalFormatting>
  <conditionalFormatting sqref="O1878">
    <cfRule type="containsText" dxfId="1" priority="816" operator="between" text="送货车型9.6米">
      <formula>NOT(ISERROR(SEARCH("送货车型9.6米",O1878)))</formula>
    </cfRule>
  </conditionalFormatting>
  <conditionalFormatting sqref="O1879">
    <cfRule type="containsText" dxfId="1" priority="815" operator="between" text="送货车型9.6米">
      <formula>NOT(ISERROR(SEARCH("送货车型9.6米",O1879)))</formula>
    </cfRule>
  </conditionalFormatting>
  <conditionalFormatting sqref="O1880">
    <cfRule type="containsText" dxfId="1" priority="814" operator="between" text="送货车型9.6米">
      <formula>NOT(ISERROR(SEARCH("送货车型9.6米",O1880)))</formula>
    </cfRule>
  </conditionalFormatting>
  <conditionalFormatting sqref="D1897">
    <cfRule type="expression" dxfId="4" priority="7832">
      <formula>AND(NOT(HasFormula(#REF!)),#REF!&lt;&gt;"")</formula>
    </cfRule>
  </conditionalFormatting>
  <conditionalFormatting sqref="E1897">
    <cfRule type="expression" dxfId="4" priority="7833">
      <formula>AND(NOT(HasFormula(#REF!)),#REF!&lt;&gt;"")</formula>
    </cfRule>
  </conditionalFormatting>
  <conditionalFormatting sqref="H1897">
    <cfRule type="expression" dxfId="4" priority="7830">
      <formula>AND(NOT(HasFormula(#REF!)),#REF!&lt;&gt;"")</formula>
    </cfRule>
    <cfRule type="expression" dxfId="3" priority="7831">
      <formula>AND(NOT(HasFormula(XFD1897)),XFD1897&lt;&gt;"")</formula>
    </cfRule>
  </conditionalFormatting>
  <conditionalFormatting sqref="I1897:L1897">
    <cfRule type="expression" dxfId="4" priority="7834">
      <formula>AND(NOT(HasFormula(#REF!)),#REF!&lt;&gt;"")</formula>
    </cfRule>
    <cfRule type="expression" dxfId="3" priority="7835">
      <formula>AND(NOT(HasFormula(A1897)),A1897&lt;&gt;"")</formula>
    </cfRule>
  </conditionalFormatting>
  <conditionalFormatting sqref="J1907:L1907">
    <cfRule type="expression" dxfId="4" priority="7840">
      <formula>AND(NOT(HasFormula(#REF!)),#REF!&lt;&gt;"")</formula>
    </cfRule>
    <cfRule type="expression" dxfId="3" priority="7841">
      <formula>AND(NOT(HasFormula(B1907)),B1907&lt;&gt;"")</formula>
    </cfRule>
  </conditionalFormatting>
  <conditionalFormatting sqref="J1908:L1908">
    <cfRule type="expression" dxfId="3" priority="781">
      <formula>AND(NOT(HasFormula(B1908)),B1908&lt;&gt;"")</formula>
    </cfRule>
    <cfRule type="expression" dxfId="4" priority="770">
      <formula>AND(NOT(HasFormula(F1909)),F1909&lt;&gt;"")</formula>
    </cfRule>
  </conditionalFormatting>
  <conditionalFormatting sqref="J1909:L1909">
    <cfRule type="expression" dxfId="3" priority="780">
      <formula>AND(NOT(HasFormula(B1909)),B1909&lt;&gt;"")</formula>
    </cfRule>
    <cfRule type="expression" dxfId="4" priority="769">
      <formula>AND(NOT(HasFormula(F1910)),F1910&lt;&gt;"")</formula>
    </cfRule>
  </conditionalFormatting>
  <conditionalFormatting sqref="J1910:L1910">
    <cfRule type="expression" dxfId="3" priority="779">
      <formula>AND(NOT(HasFormula(B1910)),B1910&lt;&gt;"")</formula>
    </cfRule>
    <cfRule type="expression" dxfId="4" priority="768">
      <formula>AND(NOT(HasFormula(F1911)),F1911&lt;&gt;"")</formula>
    </cfRule>
  </conditionalFormatting>
  <conditionalFormatting sqref="J1911:L1911">
    <cfRule type="expression" dxfId="3" priority="778">
      <formula>AND(NOT(HasFormula(B1911)),B1911&lt;&gt;"")</formula>
    </cfRule>
    <cfRule type="expression" dxfId="4" priority="767">
      <formula>AND(NOT(HasFormula(F1912)),F1912&lt;&gt;"")</formula>
    </cfRule>
  </conditionalFormatting>
  <conditionalFormatting sqref="J1912:L1912">
    <cfRule type="expression" dxfId="3" priority="777">
      <formula>AND(NOT(HasFormula(B1912)),B1912&lt;&gt;"")</formula>
    </cfRule>
    <cfRule type="expression" dxfId="4" priority="766">
      <formula>AND(NOT(HasFormula(F1913)),F1913&lt;&gt;"")</formula>
    </cfRule>
  </conditionalFormatting>
  <conditionalFormatting sqref="J1913:L1913">
    <cfRule type="expression" dxfId="3" priority="776">
      <formula>AND(NOT(HasFormula(B1913)),B1913&lt;&gt;"")</formula>
    </cfRule>
    <cfRule type="expression" dxfId="4" priority="765">
      <formula>AND(NOT(HasFormula(F1914)),F1914&lt;&gt;"")</formula>
    </cfRule>
  </conditionalFormatting>
  <conditionalFormatting sqref="J1914:L1914">
    <cfRule type="expression" dxfId="3" priority="775">
      <formula>AND(NOT(HasFormula(B1914)),B1914&lt;&gt;"")</formula>
    </cfRule>
    <cfRule type="expression" dxfId="4" priority="764">
      <formula>AND(NOT(HasFormula(F1915)),F1915&lt;&gt;"")</formula>
    </cfRule>
  </conditionalFormatting>
  <conditionalFormatting sqref="J1915:L1915">
    <cfRule type="expression" dxfId="3" priority="774">
      <formula>AND(NOT(HasFormula(B1915)),B1915&lt;&gt;"")</formula>
    </cfRule>
    <cfRule type="expression" dxfId="4" priority="763">
      <formula>AND(NOT(HasFormula(F1916)),F1916&lt;&gt;"")</formula>
    </cfRule>
  </conditionalFormatting>
  <conditionalFormatting sqref="J1916:L1916">
    <cfRule type="expression" dxfId="3" priority="773">
      <formula>AND(NOT(HasFormula(B1916)),B1916&lt;&gt;"")</formula>
    </cfRule>
    <cfRule type="expression" dxfId="4" priority="762">
      <formula>AND(NOT(HasFormula(F1917)),F1917&lt;&gt;"")</formula>
    </cfRule>
  </conditionalFormatting>
  <conditionalFormatting sqref="J1917:L1917">
    <cfRule type="expression" dxfId="3" priority="772">
      <formula>AND(NOT(HasFormula(B1917)),B1917&lt;&gt;"")</formula>
    </cfRule>
    <cfRule type="expression" dxfId="4" priority="761">
      <formula>AND(NOT(HasFormula(F1918)),F1918&lt;&gt;"")</formula>
    </cfRule>
  </conditionalFormatting>
  <conditionalFormatting sqref="J1918:L1918">
    <cfRule type="expression" dxfId="3" priority="771">
      <formula>AND(NOT(HasFormula(B1918)),B1918&lt;&gt;"")</formula>
    </cfRule>
    <cfRule type="expression" dxfId="4" priority="760">
      <formula>AND(NOT(HasFormula(F1919)),F1919&lt;&gt;"")</formula>
    </cfRule>
  </conditionalFormatting>
  <conditionalFormatting sqref="C1936">
    <cfRule type="timePeriod" dxfId="7" priority="721" timePeriod="yesterday">
      <formula>FLOOR(C1936,1)=TODAY()-1</formula>
    </cfRule>
  </conditionalFormatting>
  <conditionalFormatting sqref="D1936:E1936">
    <cfRule type="expression" dxfId="3" priority="733">
      <formula>AND(NOT(HasFormula(XEZ1936)),XEZ1936&lt;&gt;"")</formula>
    </cfRule>
  </conditionalFormatting>
  <conditionalFormatting sqref="D1936">
    <cfRule type="expression" dxfId="4" priority="729">
      <formula>AND(NOT(HasFormula(XFD1937)),XFD1937&lt;&gt;"")</formula>
    </cfRule>
    <cfRule type="expression" dxfId="2" priority="725">
      <formula>AND(NOT(_xlfn.ISFORMULA(D1936)),D1936&lt;&gt;"")</formula>
    </cfRule>
  </conditionalFormatting>
  <conditionalFormatting sqref="E1936">
    <cfRule type="expression" dxfId="4" priority="737">
      <formula>AND(NOT(HasFormula(A1937)),A1937&lt;&gt;"")</formula>
    </cfRule>
  </conditionalFormatting>
  <conditionalFormatting sqref="C1937">
    <cfRule type="timePeriod" dxfId="7" priority="720" timePeriod="yesterday">
      <formula>FLOOR(C1937,1)=TODAY()-1</formula>
    </cfRule>
  </conditionalFormatting>
  <conditionalFormatting sqref="D1937:E1937">
    <cfRule type="expression" dxfId="3" priority="732">
      <formula>AND(NOT(HasFormula(XEZ1937)),XEZ1937&lt;&gt;"")</formula>
    </cfRule>
  </conditionalFormatting>
  <conditionalFormatting sqref="D1937">
    <cfRule type="expression" dxfId="4" priority="728">
      <formula>AND(NOT(HasFormula(XFD1938)),XFD1938&lt;&gt;"")</formula>
    </cfRule>
    <cfRule type="expression" dxfId="2" priority="724">
      <formula>AND(NOT(_xlfn.ISFORMULA(D1937)),D1937&lt;&gt;"")</formula>
    </cfRule>
  </conditionalFormatting>
  <conditionalFormatting sqref="E1937">
    <cfRule type="expression" dxfId="4" priority="736">
      <formula>AND(NOT(HasFormula(A1938)),A1938&lt;&gt;"")</formula>
    </cfRule>
  </conditionalFormatting>
  <conditionalFormatting sqref="C1938">
    <cfRule type="timePeriod" dxfId="7" priority="719" timePeriod="yesterday">
      <formula>FLOOR(C1938,1)=TODAY()-1</formula>
    </cfRule>
  </conditionalFormatting>
  <conditionalFormatting sqref="D1938:E1938">
    <cfRule type="expression" dxfId="3" priority="731">
      <formula>AND(NOT(HasFormula(XEZ1938)),XEZ1938&lt;&gt;"")</formula>
    </cfRule>
  </conditionalFormatting>
  <conditionalFormatting sqref="D1938">
    <cfRule type="expression" dxfId="4" priority="727">
      <formula>AND(NOT(HasFormula(XFD1939)),XFD1939&lt;&gt;"")</formula>
    </cfRule>
    <cfRule type="expression" dxfId="2" priority="723">
      <formula>AND(NOT(_xlfn.ISFORMULA(D1938)),D1938&lt;&gt;"")</formula>
    </cfRule>
  </conditionalFormatting>
  <conditionalFormatting sqref="E1938">
    <cfRule type="expression" dxfId="4" priority="735">
      <formula>AND(NOT(HasFormula(A1939)),A1939&lt;&gt;"")</formula>
    </cfRule>
  </conditionalFormatting>
  <conditionalFormatting sqref="C1939">
    <cfRule type="timePeriod" dxfId="7" priority="718" timePeriod="yesterday">
      <formula>FLOOR(C1939,1)=TODAY()-1</formula>
    </cfRule>
  </conditionalFormatting>
  <conditionalFormatting sqref="D1939:E1939">
    <cfRule type="expression" dxfId="3" priority="730">
      <formula>AND(NOT(HasFormula(XEZ1939)),XEZ1939&lt;&gt;"")</formula>
    </cfRule>
  </conditionalFormatting>
  <conditionalFormatting sqref="D1939">
    <cfRule type="expression" dxfId="4" priority="726">
      <formula>AND(NOT(HasFormula(XFD1940)),XFD1940&lt;&gt;"")</formula>
    </cfRule>
    <cfRule type="expression" dxfId="2" priority="722">
      <formula>AND(NOT(_xlfn.ISFORMULA(D1939)),D1939&lt;&gt;"")</formula>
    </cfRule>
  </conditionalFormatting>
  <conditionalFormatting sqref="E1939">
    <cfRule type="expression" dxfId="4" priority="734">
      <formula>AND(NOT(HasFormula(A1940)),A1940&lt;&gt;"")</formula>
    </cfRule>
  </conditionalFormatting>
  <conditionalFormatting sqref="D2022">
    <cfRule type="expression" dxfId="4" priority="7844">
      <formula>AND(NOT(HasFormula(#REF!)),#REF!&lt;&gt;"")</formula>
    </cfRule>
  </conditionalFormatting>
  <conditionalFormatting sqref="E2022">
    <cfRule type="expression" dxfId="4" priority="7845">
      <formula>AND(NOT(HasFormula(#REF!)),#REF!&lt;&gt;"")</formula>
    </cfRule>
  </conditionalFormatting>
  <conditionalFormatting sqref="H2022">
    <cfRule type="expression" dxfId="4" priority="7842">
      <formula>AND(NOT(HasFormula(#REF!)),#REF!&lt;&gt;"")</formula>
    </cfRule>
    <cfRule type="expression" dxfId="3" priority="7843">
      <formula>AND(NOT(HasFormula(XFD2022)),XFD2022&lt;&gt;"")</formula>
    </cfRule>
  </conditionalFormatting>
  <conditionalFormatting sqref="I2022:L2022">
    <cfRule type="expression" dxfId="4" priority="7846">
      <formula>AND(NOT(HasFormula(#REF!)),#REF!&lt;&gt;"")</formula>
    </cfRule>
    <cfRule type="expression" dxfId="3" priority="7847">
      <formula>AND(NOT(HasFormula(A2022)),A2022&lt;&gt;"")</formula>
    </cfRule>
  </conditionalFormatting>
  <conditionalFormatting sqref="M2109:O2109">
    <cfRule type="containsText" dxfId="1" priority="695" operator="between" text="送货车型9.6米">
      <formula>NOT(ISERROR(SEARCH("送货车型9.6米",M2109)))</formula>
    </cfRule>
  </conditionalFormatting>
  <conditionalFormatting sqref="M2110:O2110">
    <cfRule type="containsText" dxfId="1" priority="694" operator="between" text="送货车型9.6米">
      <formula>NOT(ISERROR(SEARCH("送货车型9.6米",M2110)))</formula>
    </cfRule>
  </conditionalFormatting>
  <conditionalFormatting sqref="M2111:O2111">
    <cfRule type="containsText" dxfId="1" priority="693" operator="between" text="送货车型9.6米">
      <formula>NOT(ISERROR(SEARCH("送货车型9.6米",M2111)))</formula>
    </cfRule>
  </conditionalFormatting>
  <conditionalFormatting sqref="M2112:O2112">
    <cfRule type="containsText" dxfId="1" priority="692" operator="between" text="送货车型9.6米">
      <formula>NOT(ISERROR(SEARCH("送货车型9.6米",M2112)))</formula>
    </cfRule>
  </conditionalFormatting>
  <conditionalFormatting sqref="M2113:O2113">
    <cfRule type="containsText" dxfId="1" priority="691" operator="between" text="送货车型9.6米">
      <formula>NOT(ISERROR(SEARCH("送货车型9.6米",M2113)))</formula>
    </cfRule>
  </conditionalFormatting>
  <conditionalFormatting sqref="M2114:O2114">
    <cfRule type="containsText" dxfId="1" priority="690" operator="between" text="送货车型9.6米">
      <formula>NOT(ISERROR(SEARCH("送货车型9.6米",M2114)))</formula>
    </cfRule>
  </conditionalFormatting>
  <conditionalFormatting sqref="M2115:O2115">
    <cfRule type="containsText" dxfId="1" priority="689" operator="between" text="送货车型9.6米">
      <formula>NOT(ISERROR(SEARCH("送货车型9.6米",M2115)))</formula>
    </cfRule>
  </conditionalFormatting>
  <conditionalFormatting sqref="M2116:O2116">
    <cfRule type="containsText" dxfId="1" priority="688" operator="between" text="送货车型9.6米">
      <formula>NOT(ISERROR(SEARCH("送货车型9.6米",M2116)))</formula>
    </cfRule>
  </conditionalFormatting>
  <conditionalFormatting sqref="M2117:O2117">
    <cfRule type="containsText" dxfId="1" priority="687" operator="between" text="送货车型9.6米">
      <formula>NOT(ISERROR(SEARCH("送货车型9.6米",M2117)))</formula>
    </cfRule>
  </conditionalFormatting>
  <conditionalFormatting sqref="M2118:O2118">
    <cfRule type="containsText" dxfId="1" priority="686" operator="between" text="送货车型9.6米">
      <formula>NOT(ISERROR(SEARCH("送货车型9.6米",M2118)))</formula>
    </cfRule>
  </conditionalFormatting>
  <conditionalFormatting sqref="M2119:O2119">
    <cfRule type="containsText" dxfId="1" priority="685" operator="between" text="送货车型9.6米">
      <formula>NOT(ISERROR(SEARCH("送货车型9.6米",M2119)))</formula>
    </cfRule>
  </conditionalFormatting>
  <conditionalFormatting sqref="M2129:O2129">
    <cfRule type="containsText" dxfId="1" priority="683" operator="between" text="送货车型9.6米">
      <formula>NOT(ISERROR(SEARCH("送货车型9.6米",M2129)))</formula>
    </cfRule>
  </conditionalFormatting>
  <conditionalFormatting sqref="M2130:O2130">
    <cfRule type="containsText" dxfId="1" priority="682" operator="between" text="送货车型9.6米">
      <formula>NOT(ISERROR(SEARCH("送货车型9.6米",M2130)))</formula>
    </cfRule>
  </conditionalFormatting>
  <conditionalFormatting sqref="M2131:O2131">
    <cfRule type="containsText" dxfId="1" priority="681" operator="between" text="送货车型9.6米">
      <formula>NOT(ISERROR(SEARCH("送货车型9.6米",M2131)))</formula>
    </cfRule>
  </conditionalFormatting>
  <conditionalFormatting sqref="M2132:O2132">
    <cfRule type="containsText" dxfId="1" priority="680" operator="between" text="送货车型9.6米">
      <formula>NOT(ISERROR(SEARCH("送货车型9.6米",M2132)))</formula>
    </cfRule>
  </conditionalFormatting>
  <conditionalFormatting sqref="M2133:O2133">
    <cfRule type="containsText" dxfId="1" priority="679" operator="between" text="送货车型9.6米">
      <formula>NOT(ISERROR(SEARCH("送货车型9.6米",M2133)))</formula>
    </cfRule>
  </conditionalFormatting>
  <conditionalFormatting sqref="M2134:O2134">
    <cfRule type="containsText" dxfId="1" priority="678" operator="between" text="送货车型9.6米">
      <formula>NOT(ISERROR(SEARCH("送货车型9.6米",M2134)))</formula>
    </cfRule>
  </conditionalFormatting>
  <conditionalFormatting sqref="D2135">
    <cfRule type="expression" dxfId="4" priority="7913">
      <formula>AND(NOT(HasFormula(#REF!)),#REF!&lt;&gt;"")</formula>
    </cfRule>
  </conditionalFormatting>
  <conditionalFormatting sqref="E2135">
    <cfRule type="expression" dxfId="4" priority="7914">
      <formula>AND(NOT(HasFormula(#REF!)),#REF!&lt;&gt;"")</formula>
    </cfRule>
  </conditionalFormatting>
  <conditionalFormatting sqref="H2135">
    <cfRule type="expression" dxfId="4" priority="7911">
      <formula>AND(NOT(HasFormula(#REF!)),#REF!&lt;&gt;"")</formula>
    </cfRule>
    <cfRule type="expression" dxfId="3" priority="7912">
      <formula>AND(NOT(HasFormula(XFD2135)),XFD2135&lt;&gt;"")</formula>
    </cfRule>
  </conditionalFormatting>
  <conditionalFormatting sqref="I2135:L2135">
    <cfRule type="expression" dxfId="4" priority="7915">
      <formula>AND(NOT(HasFormula(#REF!)),#REF!&lt;&gt;"")</formula>
    </cfRule>
    <cfRule type="expression" dxfId="3" priority="7916">
      <formula>AND(NOT(HasFormula(A2135)),A2135&lt;&gt;"")</formula>
    </cfRule>
  </conditionalFormatting>
  <conditionalFormatting sqref="M2135:O2135">
    <cfRule type="containsText" dxfId="1" priority="677" operator="between" text="送货车型9.6米">
      <formula>NOT(ISERROR(SEARCH("送货车型9.6米",M2135)))</formula>
    </cfRule>
  </conditionalFormatting>
  <conditionalFormatting sqref="M2136:O2136">
    <cfRule type="containsText" dxfId="1" priority="648" operator="between" text="送货车型9.6米">
      <formula>NOT(ISERROR(SEARCH("送货车型9.6米",M2136)))</formula>
    </cfRule>
  </conditionalFormatting>
  <conditionalFormatting sqref="M2137:O2137">
    <cfRule type="containsText" dxfId="1" priority="647" operator="between" text="送货车型9.6米">
      <formula>NOT(ISERROR(SEARCH("送货车型9.6米",M2137)))</formula>
    </cfRule>
  </conditionalFormatting>
  <conditionalFormatting sqref="M2138:O2138">
    <cfRule type="containsText" dxfId="1" priority="646" operator="between" text="送货车型9.6米">
      <formula>NOT(ISERROR(SEARCH("送货车型9.6米",M2138)))</formula>
    </cfRule>
  </conditionalFormatting>
  <conditionalFormatting sqref="M2139:O2139">
    <cfRule type="containsText" dxfId="1" priority="644" operator="between" text="送货车型9.6米">
      <formula>NOT(ISERROR(SEARCH("送货车型9.6米",M2139)))</formula>
    </cfRule>
  </conditionalFormatting>
  <conditionalFormatting sqref="M2140:O2140">
    <cfRule type="containsText" dxfId="1" priority="642" operator="between" text="送货车型9.6米">
      <formula>NOT(ISERROR(SEARCH("送货车型9.6米",M2140)))</formula>
    </cfRule>
  </conditionalFormatting>
  <conditionalFormatting sqref="M2141:O2141">
    <cfRule type="containsText" dxfId="1" priority="641" operator="between" text="送货车型9.6米">
      <formula>NOT(ISERROR(SEARCH("送货车型9.6米",M2141)))</formula>
    </cfRule>
  </conditionalFormatting>
  <conditionalFormatting sqref="M2142:O2142">
    <cfRule type="containsText" dxfId="1" priority="640" operator="between" text="送货车型9.6米">
      <formula>NOT(ISERROR(SEARCH("送货车型9.6米",M2142)))</formula>
    </cfRule>
  </conditionalFormatting>
  <conditionalFormatting sqref="E2165">
    <cfRule type="expression" dxfId="4" priority="7937">
      <formula>AND(NOT(HasFormula(#REF!)),#REF!&lt;&gt;"")</formula>
    </cfRule>
  </conditionalFormatting>
  <conditionalFormatting sqref="D2167">
    <cfRule type="expression" dxfId="4" priority="7979">
      <formula>AND(NOT(HasFormula(#REF!)),#REF!&lt;&gt;"")</formula>
    </cfRule>
  </conditionalFormatting>
  <conditionalFormatting sqref="H2167">
    <cfRule type="expression" dxfId="4" priority="7980">
      <formula>AND(NOT(HasFormula(#REF!)),#REF!&lt;&gt;"")</formula>
    </cfRule>
    <cfRule type="expression" dxfId="3" priority="7981">
      <formula>AND(NOT(HasFormula(XFD2167)),XFD2167&lt;&gt;"")</formula>
    </cfRule>
  </conditionalFormatting>
  <conditionalFormatting sqref="I2167:L2167">
    <cfRule type="expression" dxfId="4" priority="7983">
      <formula>AND(NOT(HasFormula(#REF!)),#REF!&lt;&gt;"")</formula>
    </cfRule>
    <cfRule type="expression" dxfId="3" priority="7984">
      <formula>AND(NOT(HasFormula(A2167)),A2167&lt;&gt;"")</formula>
    </cfRule>
  </conditionalFormatting>
  <conditionalFormatting sqref="E2168">
    <cfRule type="expression" dxfId="4" priority="7928">
      <formula>AND(NOT(HasFormula(#REF!)),#REF!&lt;&gt;"")</formula>
    </cfRule>
  </conditionalFormatting>
  <conditionalFormatting sqref="I2168:L2168">
    <cfRule type="expression" dxfId="4" priority="7969">
      <formula>AND(NOT(HasFormula(#REF!)),#REF!&lt;&gt;"")</formula>
    </cfRule>
    <cfRule type="expression" dxfId="3" priority="7970">
      <formula>AND(NOT(HasFormula(A2168)),A2168&lt;&gt;"")</formula>
    </cfRule>
  </conditionalFormatting>
  <conditionalFormatting sqref="D2173">
    <cfRule type="expression" dxfId="4" priority="7997">
      <formula>AND(NOT(HasFormula(#REF!)),#REF!&lt;&gt;"")</formula>
    </cfRule>
  </conditionalFormatting>
  <conditionalFormatting sqref="E2173">
    <cfRule type="expression" dxfId="4" priority="7998">
      <formula>AND(NOT(HasFormula(#REF!)),#REF!&lt;&gt;"")</formula>
    </cfRule>
  </conditionalFormatting>
  <conditionalFormatting sqref="I2173:L2173">
    <cfRule type="expression" dxfId="4" priority="7999">
      <formula>AND(NOT(HasFormula(#REF!)),#REF!&lt;&gt;"")</formula>
    </cfRule>
    <cfRule type="expression" dxfId="3" priority="8000">
      <formula>AND(NOT(HasFormula(A2173)),A2173&lt;&gt;"")</formula>
    </cfRule>
  </conditionalFormatting>
  <conditionalFormatting sqref="D2188">
    <cfRule type="expression" dxfId="4" priority="7993">
      <formula>AND(NOT(HasFormula(#REF!)),#REF!&lt;&gt;"")</formula>
    </cfRule>
  </conditionalFormatting>
  <conditionalFormatting sqref="E2188">
    <cfRule type="expression" dxfId="4" priority="7994">
      <formula>AND(NOT(HasFormula(#REF!)),#REF!&lt;&gt;"")</formula>
    </cfRule>
  </conditionalFormatting>
  <conditionalFormatting sqref="H2188">
    <cfRule type="expression" dxfId="4" priority="7991">
      <formula>AND(NOT(HasFormula(#REF!)),#REF!&lt;&gt;"")</formula>
    </cfRule>
    <cfRule type="expression" dxfId="3" priority="7992">
      <formula>AND(NOT(HasFormula(XFD2188)),XFD2188&lt;&gt;"")</formula>
    </cfRule>
  </conditionalFormatting>
  <conditionalFormatting sqref="I2188:L2188">
    <cfRule type="expression" dxfId="4" priority="7995">
      <formula>AND(NOT(HasFormula(#REF!)),#REF!&lt;&gt;"")</formula>
    </cfRule>
    <cfRule type="expression" dxfId="3" priority="7996">
      <formula>AND(NOT(HasFormula(A2188)),A2188&lt;&gt;"")</formula>
    </cfRule>
  </conditionalFormatting>
  <conditionalFormatting sqref="D2190">
    <cfRule type="expression" dxfId="4" priority="7987">
      <formula>AND(NOT(HasFormula(#REF!)),#REF!&lt;&gt;"")</formula>
    </cfRule>
  </conditionalFormatting>
  <conditionalFormatting sqref="E2190">
    <cfRule type="expression" dxfId="4" priority="7988">
      <formula>AND(NOT(HasFormula(#REF!)),#REF!&lt;&gt;"")</formula>
    </cfRule>
  </conditionalFormatting>
  <conditionalFormatting sqref="H2190">
    <cfRule type="expression" dxfId="4" priority="7985">
      <formula>AND(NOT(HasFormula(#REF!)),#REF!&lt;&gt;"")</formula>
    </cfRule>
    <cfRule type="expression" dxfId="3" priority="7986">
      <formula>AND(NOT(HasFormula(XFD2190)),XFD2190&lt;&gt;"")</formula>
    </cfRule>
  </conditionalFormatting>
  <conditionalFormatting sqref="I2190:L2190">
    <cfRule type="expression" dxfId="4" priority="7989">
      <formula>AND(NOT(HasFormula(#REF!)),#REF!&lt;&gt;"")</formula>
    </cfRule>
    <cfRule type="expression" dxfId="3" priority="7990">
      <formula>AND(NOT(HasFormula(A2190)),A2190&lt;&gt;"")</formula>
    </cfRule>
  </conditionalFormatting>
  <conditionalFormatting sqref="D2200">
    <cfRule type="expression" dxfId="4" priority="8009">
      <formula>AND(NOT(HasFormula(#REF!)),#REF!&lt;&gt;"")</formula>
    </cfRule>
  </conditionalFormatting>
  <conditionalFormatting sqref="E2200">
    <cfRule type="expression" dxfId="4" priority="8010">
      <formula>AND(NOT(HasFormula(#REF!)),#REF!&lt;&gt;"")</formula>
    </cfRule>
  </conditionalFormatting>
  <conditionalFormatting sqref="H2200">
    <cfRule type="expression" dxfId="4" priority="8007">
      <formula>AND(NOT(HasFormula(#REF!)),#REF!&lt;&gt;"")</formula>
    </cfRule>
    <cfRule type="expression" dxfId="3" priority="8008">
      <formula>AND(NOT(HasFormula(XFD2200)),XFD2200&lt;&gt;"")</formula>
    </cfRule>
  </conditionalFormatting>
  <conditionalFormatting sqref="I2200:L2200">
    <cfRule type="expression" dxfId="4" priority="8011">
      <formula>AND(NOT(HasFormula(#REF!)),#REF!&lt;&gt;"")</formula>
    </cfRule>
    <cfRule type="expression" dxfId="3" priority="8012">
      <formula>AND(NOT(HasFormula(A2200)),A2200&lt;&gt;"")</formula>
    </cfRule>
  </conditionalFormatting>
  <conditionalFormatting sqref="D2216">
    <cfRule type="expression" dxfId="4" priority="8003">
      <formula>AND(NOT(HasFormula(#REF!)),#REF!&lt;&gt;"")</formula>
    </cfRule>
  </conditionalFormatting>
  <conditionalFormatting sqref="E2216">
    <cfRule type="expression" dxfId="4" priority="8004">
      <formula>AND(NOT(HasFormula(#REF!)),#REF!&lt;&gt;"")</formula>
    </cfRule>
  </conditionalFormatting>
  <conditionalFormatting sqref="I2216:L2216">
    <cfRule type="expression" dxfId="4" priority="8005">
      <formula>AND(NOT(HasFormula(#REF!)),#REF!&lt;&gt;"")</formula>
    </cfRule>
    <cfRule type="expression" dxfId="3" priority="8006">
      <formula>AND(NOT(HasFormula(A2216)),A2216&lt;&gt;"")</formula>
    </cfRule>
  </conditionalFormatting>
  <conditionalFormatting sqref="D2219">
    <cfRule type="expression" dxfId="4" priority="8015">
      <formula>AND(NOT(HasFormula(#REF!)),#REF!&lt;&gt;"")</formula>
    </cfRule>
  </conditionalFormatting>
  <conditionalFormatting sqref="E2219">
    <cfRule type="expression" dxfId="4" priority="8016">
      <formula>AND(NOT(HasFormula(#REF!)),#REF!&lt;&gt;"")</formula>
    </cfRule>
  </conditionalFormatting>
  <conditionalFormatting sqref="I2219:L2219">
    <cfRule type="expression" dxfId="4" priority="8017">
      <formula>AND(NOT(HasFormula(#REF!)),#REF!&lt;&gt;"")</formula>
    </cfRule>
    <cfRule type="expression" dxfId="3" priority="8018">
      <formula>AND(NOT(HasFormula(A2219)),A2219&lt;&gt;"")</formula>
    </cfRule>
  </conditionalFormatting>
  <conditionalFormatting sqref="D2229">
    <cfRule type="expression" dxfId="4" priority="8039">
      <formula>AND(NOT(HasFormula(#REF!)),#REF!&lt;&gt;"")</formula>
    </cfRule>
  </conditionalFormatting>
  <conditionalFormatting sqref="E2229">
    <cfRule type="expression" dxfId="4" priority="8040">
      <formula>AND(NOT(HasFormula(#REF!)),#REF!&lt;&gt;"")</formula>
    </cfRule>
  </conditionalFormatting>
  <conditionalFormatting sqref="I2229:L2229">
    <cfRule type="expression" dxfId="4" priority="8041">
      <formula>AND(NOT(HasFormula(#REF!)),#REF!&lt;&gt;"")</formula>
    </cfRule>
    <cfRule type="expression" dxfId="3" priority="8042">
      <formula>AND(NOT(HasFormula(A2229)),A2229&lt;&gt;"")</formula>
    </cfRule>
  </conditionalFormatting>
  <conditionalFormatting sqref="D2233">
    <cfRule type="expression" dxfId="4" priority="8051">
      <formula>AND(NOT(HasFormula(#REF!)),#REF!&lt;&gt;"")</formula>
    </cfRule>
  </conditionalFormatting>
  <conditionalFormatting sqref="E2233">
    <cfRule type="expression" dxfId="4" priority="8052">
      <formula>AND(NOT(HasFormula(#REF!)),#REF!&lt;&gt;"")</formula>
    </cfRule>
  </conditionalFormatting>
  <conditionalFormatting sqref="I2233:L2233">
    <cfRule type="expression" dxfId="4" priority="8053">
      <formula>AND(NOT(HasFormula(#REF!)),#REF!&lt;&gt;"")</formula>
    </cfRule>
    <cfRule type="expression" dxfId="3" priority="8054">
      <formula>AND(NOT(HasFormula(A2233)),A2233&lt;&gt;"")</formula>
    </cfRule>
  </conditionalFormatting>
  <conditionalFormatting sqref="M2238">
    <cfRule type="containsText" dxfId="1" priority="615" operator="between" text="送货车型9.6米">
      <formula>NOT(ISERROR(SEARCH("送货车型9.6米",M2238)))</formula>
    </cfRule>
  </conditionalFormatting>
  <conditionalFormatting sqref="D2245">
    <cfRule type="expression" dxfId="4" priority="8069">
      <formula>AND(NOT(HasFormula(XFD2250)),XFD2250&lt;&gt;"")</formula>
    </cfRule>
  </conditionalFormatting>
  <conditionalFormatting sqref="E2245">
    <cfRule type="expression" dxfId="4" priority="8071">
      <formula>AND(NOT(HasFormula(A2250)),A2250&lt;&gt;"")</formula>
    </cfRule>
  </conditionalFormatting>
  <conditionalFormatting sqref="H2245">
    <cfRule type="expression" dxfId="4" priority="8065">
      <formula>AND(NOT(HasFormula(D2250)),D2250&lt;&gt;"")</formula>
    </cfRule>
    <cfRule type="expression" dxfId="3" priority="8066">
      <formula>AND(NOT(HasFormula(XFD2245)),XFD2245&lt;&gt;"")</formula>
    </cfRule>
  </conditionalFormatting>
  <conditionalFormatting sqref="I2245:L2245">
    <cfRule type="expression" dxfId="4" priority="8077">
      <formula>AND(NOT(HasFormula(E2250)),E2250&lt;&gt;"")</formula>
    </cfRule>
    <cfRule type="expression" dxfId="3" priority="8078">
      <formula>AND(NOT(HasFormula(A2245)),A2245&lt;&gt;"")</formula>
    </cfRule>
  </conditionalFormatting>
  <conditionalFormatting sqref="D2246">
    <cfRule type="expression" dxfId="4" priority="8061">
      <formula>AND(NOT(HasFormula(XFD2247)),XFD2247&lt;&gt;"")</formula>
    </cfRule>
  </conditionalFormatting>
  <conditionalFormatting sqref="E2246">
    <cfRule type="expression" dxfId="4" priority="8062">
      <formula>AND(NOT(HasFormula(A2247)),A2247&lt;&gt;"")</formula>
    </cfRule>
  </conditionalFormatting>
  <conditionalFormatting sqref="H2246">
    <cfRule type="expression" dxfId="4" priority="596">
      <formula>AND(NOT(HasFormula(#REF!)),#REF!&lt;&gt;"")</formula>
    </cfRule>
    <cfRule type="expression" dxfId="3" priority="597">
      <formula>AND(NOT(HasFormula(XFD2246)),XFD2246&lt;&gt;"")</formula>
    </cfRule>
  </conditionalFormatting>
  <conditionalFormatting sqref="I2246:L2246">
    <cfRule type="expression" dxfId="4" priority="8063">
      <formula>AND(NOT(HasFormula(E2247)),E2247&lt;&gt;"")</formula>
    </cfRule>
    <cfRule type="expression" dxfId="3" priority="8064">
      <formula>AND(NOT(HasFormula(A2246)),A2246&lt;&gt;"")</formula>
    </cfRule>
  </conditionalFormatting>
  <conditionalFormatting sqref="D2250">
    <cfRule type="expression" dxfId="4" priority="8070">
      <formula>AND(NOT(HasFormula(XFD2251)),XFD2251&lt;&gt;"")</formula>
    </cfRule>
  </conditionalFormatting>
  <conditionalFormatting sqref="E2250">
    <cfRule type="expression" dxfId="4" priority="8072">
      <formula>AND(NOT(HasFormula(A2251)),A2251&lt;&gt;"")</formula>
    </cfRule>
  </conditionalFormatting>
  <conditionalFormatting sqref="H2250">
    <cfRule type="expression" dxfId="4" priority="8073">
      <formula>AND(NOT(HasFormula(D2251)),D2251&lt;&gt;"")</formula>
    </cfRule>
    <cfRule type="expression" dxfId="3" priority="8074">
      <formula>AND(NOT(HasFormula(XFD2250)),XFD2250&lt;&gt;"")</formula>
    </cfRule>
    <cfRule type="expression" dxfId="4" priority="8075">
      <formula>AND(NOT(HasFormula(D2251)),D2251&lt;&gt;"")</formula>
    </cfRule>
    <cfRule type="expression" dxfId="3" priority="8076">
      <formula>AND(NOT(HasFormula(XFD2250)),XFD2250&lt;&gt;"")</formula>
    </cfRule>
  </conditionalFormatting>
  <conditionalFormatting sqref="I2250:L2250">
    <cfRule type="expression" dxfId="4" priority="8079">
      <formula>AND(NOT(HasFormula(E2251)),E2251&lt;&gt;"")</formula>
    </cfRule>
    <cfRule type="expression" dxfId="3" priority="8080">
      <formula>AND(NOT(HasFormula(A2250)),A2250&lt;&gt;"")</formula>
    </cfRule>
  </conditionalFormatting>
  <conditionalFormatting sqref="M2270">
    <cfRule type="containsText" dxfId="1" priority="600" operator="between" text="送货车型9.6米">
      <formula>NOT(ISERROR(SEARCH("送货车型9.6米",M2270)))</formula>
    </cfRule>
  </conditionalFormatting>
  <conditionalFormatting sqref="D2323">
    <cfRule type="expression" dxfId="4" priority="8089">
      <formula>AND(NOT(HasFormula(XFD2337)),XFD2337&lt;&gt;"")</formula>
    </cfRule>
  </conditionalFormatting>
  <conditionalFormatting sqref="E2323">
    <cfRule type="expression" dxfId="4" priority="8091">
      <formula>AND(NOT(HasFormula(A2337)),A2337&lt;&gt;"")</formula>
    </cfRule>
  </conditionalFormatting>
  <conditionalFormatting sqref="H2323">
    <cfRule type="expression" dxfId="4" priority="8081">
      <formula>AND(NOT(HasFormula(D2337)),D2337&lt;&gt;"")</formula>
    </cfRule>
    <cfRule type="expression" dxfId="3" priority="8082">
      <formula>AND(NOT(HasFormula(XFD2323)),XFD2323&lt;&gt;"")</formula>
    </cfRule>
  </conditionalFormatting>
  <conditionalFormatting sqref="I2323:L2323">
    <cfRule type="expression" dxfId="4" priority="8093">
      <formula>AND(NOT(HasFormula(E2337)),E2337&lt;&gt;"")</formula>
    </cfRule>
    <cfRule type="expression" dxfId="3" priority="8094">
      <formula>AND(NOT(HasFormula(A2323)),A2323&lt;&gt;"")</formula>
    </cfRule>
  </conditionalFormatting>
  <conditionalFormatting sqref="D2336">
    <cfRule type="expression" dxfId="4" priority="8090">
      <formula>AND(NOT(HasFormula(#REF!)),#REF!&lt;&gt;"")</formula>
    </cfRule>
  </conditionalFormatting>
  <conditionalFormatting sqref="E2336">
    <cfRule type="expression" dxfId="4" priority="8092">
      <formula>AND(NOT(HasFormula(#REF!)),#REF!&lt;&gt;"")</formula>
    </cfRule>
  </conditionalFormatting>
  <conditionalFormatting sqref="H2336">
    <cfRule type="expression" dxfId="4" priority="8083">
      <formula>AND(NOT(HasFormula(#REF!)),#REF!&lt;&gt;"")</formula>
    </cfRule>
    <cfRule type="expression" dxfId="3" priority="8084">
      <formula>AND(NOT(HasFormula(XFD2336)),XFD2336&lt;&gt;"")</formula>
    </cfRule>
    <cfRule type="expression" dxfId="4" priority="8087">
      <formula>AND(NOT(HasFormula(#REF!)),#REF!&lt;&gt;"")</formula>
    </cfRule>
    <cfRule type="expression" dxfId="3" priority="8088">
      <formula>AND(NOT(HasFormula(XFD2336)),XFD2336&lt;&gt;"")</formula>
    </cfRule>
  </conditionalFormatting>
  <conditionalFormatting sqref="I2336:L2336">
    <cfRule type="expression" dxfId="4" priority="8095">
      <formula>AND(NOT(HasFormula(#REF!)),#REF!&lt;&gt;"")</formula>
    </cfRule>
    <cfRule type="expression" dxfId="3" priority="8096">
      <formula>AND(NOT(HasFormula(A2336)),A2336&lt;&gt;"")</formula>
    </cfRule>
  </conditionalFormatting>
  <conditionalFormatting sqref="D2337:E2337">
    <cfRule type="expression" dxfId="3" priority="585">
      <formula>AND(NOT(HasFormula(XEZ2337)),XEZ2337&lt;&gt;"")</formula>
    </cfRule>
  </conditionalFormatting>
  <conditionalFormatting sqref="D2337">
    <cfRule type="expression" dxfId="2" priority="582">
      <formula>AND(NOT(_xlfn.ISFORMULA(D2337)),D2337&lt;&gt;"")</formula>
    </cfRule>
    <cfRule type="expression" dxfId="4" priority="584">
      <formula>AND(NOT(HasFormula(XFD2324)),XFD2324&lt;&gt;"")</formula>
    </cfRule>
  </conditionalFormatting>
  <conditionalFormatting sqref="E2337">
    <cfRule type="expression" dxfId="4" priority="592">
      <formula>AND(NOT(HasFormula(A2324)),A2324&lt;&gt;"")</formula>
    </cfRule>
  </conditionalFormatting>
  <conditionalFormatting sqref="F2337">
    <cfRule type="containsText" dxfId="6" priority="586" operator="between" text="12m">
      <formula>NOT(ISERROR(SEARCH("12m",F2337)))</formula>
    </cfRule>
    <cfRule type="containsText" dxfId="5" priority="587" operator="between" text="HRB500E">
      <formula>NOT(ISERROR(SEARCH("HRB500E",F2337)))</formula>
    </cfRule>
  </conditionalFormatting>
  <conditionalFormatting sqref="H2337">
    <cfRule type="expression" dxfId="4" priority="8085">
      <formula>AND(NOT(HasFormula(D2324)),D2324&lt;&gt;"")</formula>
    </cfRule>
    <cfRule type="expression" dxfId="3" priority="8086">
      <formula>AND(NOT(HasFormula(XFD2337)),XFD2337&lt;&gt;"")</formula>
    </cfRule>
  </conditionalFormatting>
  <conditionalFormatting sqref="I2337:L2337">
    <cfRule type="expression" dxfId="4" priority="590">
      <formula>AND(NOT(HasFormula(E2324)),E2324&lt;&gt;"")</formula>
    </cfRule>
    <cfRule type="expression" dxfId="3" priority="591">
      <formula>AND(NOT(HasFormula(A2337)),A2337&lt;&gt;"")</formula>
    </cfRule>
  </conditionalFormatting>
  <conditionalFormatting sqref="D2338:E2338">
    <cfRule type="expression" dxfId="3" priority="568">
      <formula>AND(NOT(HasFormula(XEZ2338)),XEZ2338&lt;&gt;"")</formula>
    </cfRule>
  </conditionalFormatting>
  <conditionalFormatting sqref="D2338">
    <cfRule type="expression" dxfId="4" priority="567">
      <formula>AND(NOT(HasFormula(XFD2325)),XFD2325&lt;&gt;"")</formula>
    </cfRule>
    <cfRule type="expression" dxfId="2" priority="566">
      <formula>AND(NOT(_xlfn.ISFORMULA(D2338)),D2338&lt;&gt;"")</formula>
    </cfRule>
  </conditionalFormatting>
  <conditionalFormatting sqref="E2338">
    <cfRule type="expression" dxfId="4" priority="573">
      <formula>AND(NOT(HasFormula(A2325)),A2325&lt;&gt;"")</formula>
    </cfRule>
  </conditionalFormatting>
  <conditionalFormatting sqref="F2338">
    <cfRule type="containsText" dxfId="5" priority="570" operator="between" text="HRB500E">
      <formula>NOT(ISERROR(SEARCH("HRB500E",F2338)))</formula>
    </cfRule>
    <cfRule type="containsText" dxfId="6" priority="569" operator="between" text="12m">
      <formula>NOT(ISERROR(SEARCH("12m",F2338)))</formula>
    </cfRule>
  </conditionalFormatting>
  <conditionalFormatting sqref="I2338:L2338">
    <cfRule type="expression" dxfId="3" priority="572">
      <formula>AND(NOT(HasFormula(A2338)),A2338&lt;&gt;"")</formula>
    </cfRule>
    <cfRule type="expression" dxfId="4" priority="571">
      <formula>AND(NOT(HasFormula(E2325)),E2325&lt;&gt;"")</formula>
    </cfRule>
  </conditionalFormatting>
  <conditionalFormatting sqref="D2349">
    <cfRule type="expression" dxfId="4" priority="552">
      <formula>AND(NOT(HasFormula(XFD2336)),XFD2336&lt;&gt;"")</formula>
    </cfRule>
    <cfRule type="expression" dxfId="2" priority="551">
      <formula>AND(NOT(_xlfn.ISFORMULA(D2349)),D2349&lt;&gt;"")</formula>
    </cfRule>
  </conditionalFormatting>
  <conditionalFormatting sqref="F2349">
    <cfRule type="containsText" dxfId="5" priority="555" operator="between" text="HRB500E">
      <formula>NOT(ISERROR(SEARCH("HRB500E",F2349)))</formula>
    </cfRule>
    <cfRule type="containsText" dxfId="6" priority="554" operator="between" text="12m">
      <formula>NOT(ISERROR(SEARCH("12m",F2349)))</formula>
    </cfRule>
  </conditionalFormatting>
  <conditionalFormatting sqref="I2349:L2349">
    <cfRule type="expression" dxfId="3" priority="557">
      <formula>AND(NOT(HasFormula(A2349)),A2349&lt;&gt;"")</formula>
    </cfRule>
    <cfRule type="expression" dxfId="4" priority="556">
      <formula>AND(NOT(HasFormula(E2336)),E2336&lt;&gt;"")</formula>
    </cfRule>
  </conditionalFormatting>
  <conditionalFormatting sqref="M2349">
    <cfRule type="containsText" dxfId="1" priority="548" operator="between" text="送货车型9.6米">
      <formula>NOT(ISERROR(SEARCH("送货车型9.6米",M2349)))</formula>
    </cfRule>
  </conditionalFormatting>
  <conditionalFormatting sqref="D2358">
    <cfRule type="expression" dxfId="4" priority="8097">
      <formula>AND(NOT(HasFormula(#REF!)),#REF!&lt;&gt;"")</formula>
    </cfRule>
  </conditionalFormatting>
  <conditionalFormatting sqref="E2358">
    <cfRule type="expression" dxfId="4" priority="8098">
      <formula>AND(NOT(HasFormula(#REF!)),#REF!&lt;&gt;"")</formula>
    </cfRule>
  </conditionalFormatting>
  <conditionalFormatting sqref="I2358:L2358">
    <cfRule type="expression" dxfId="4" priority="8099">
      <formula>AND(NOT(HasFormula(#REF!)),#REF!&lt;&gt;"")</formula>
    </cfRule>
    <cfRule type="expression" dxfId="3" priority="8100">
      <formula>AND(NOT(HasFormula(A2358)),A2358&lt;&gt;"")</formula>
    </cfRule>
  </conditionalFormatting>
  <conditionalFormatting sqref="M2359">
    <cfRule type="containsText" dxfId="1" priority="534" operator="between" text="送货车型9.6米">
      <formula>NOT(ISERROR(SEARCH("送货车型9.6米",M2359)))</formula>
    </cfRule>
  </conditionalFormatting>
  <conditionalFormatting sqref="D2428">
    <cfRule type="expression" dxfId="4" priority="8101">
      <formula>AND(NOT(HasFormula(XFD2429)),XFD2429&lt;&gt;"")</formula>
    </cfRule>
  </conditionalFormatting>
  <conditionalFormatting sqref="E2428">
    <cfRule type="expression" dxfId="4" priority="8102">
      <formula>AND(NOT(HasFormula(A2429)),A2429&lt;&gt;"")</formula>
    </cfRule>
  </conditionalFormatting>
  <conditionalFormatting sqref="I2428:K2428">
    <cfRule type="expression" dxfId="4" priority="8103">
      <formula>AND(NOT(HasFormula(E2429)),E2429&lt;&gt;"")</formula>
    </cfRule>
    <cfRule type="expression" dxfId="3" priority="8104">
      <formula>AND(NOT(HasFormula(A2428)),A2428&lt;&gt;"")</formula>
    </cfRule>
  </conditionalFormatting>
  <conditionalFormatting sqref="D2438">
    <cfRule type="expression" dxfId="4" priority="8107">
      <formula>AND(NOT(HasFormula(#REF!)),#REF!&lt;&gt;"")</formula>
    </cfRule>
  </conditionalFormatting>
  <conditionalFormatting sqref="E2438">
    <cfRule type="expression" dxfId="4" priority="8108">
      <formula>AND(NOT(HasFormula(#REF!)),#REF!&lt;&gt;"")</formula>
    </cfRule>
  </conditionalFormatting>
  <conditionalFormatting sqref="H2438">
    <cfRule type="expression" dxfId="4" priority="8105">
      <formula>AND(NOT(HasFormula(#REF!)),#REF!&lt;&gt;"")</formula>
    </cfRule>
    <cfRule type="expression" dxfId="3" priority="8106">
      <formula>AND(NOT(HasFormula(XFD2438)),XFD2438&lt;&gt;"")</formula>
    </cfRule>
  </conditionalFormatting>
  <conditionalFormatting sqref="I2438:L2438">
    <cfRule type="expression" dxfId="4" priority="8109">
      <formula>AND(NOT(HasFormula(#REF!)),#REF!&lt;&gt;"")</formula>
    </cfRule>
    <cfRule type="expression" dxfId="3" priority="8110">
      <formula>AND(NOT(HasFormula(A2438)),A2438&lt;&gt;"")</formula>
    </cfRule>
  </conditionalFormatting>
  <conditionalFormatting sqref="D2455">
    <cfRule type="expression" dxfId="4" priority="8117">
      <formula>AND(NOT(HasFormula(XFD2461)),XFD2461&lt;&gt;"")</formula>
    </cfRule>
  </conditionalFormatting>
  <conditionalFormatting sqref="E2455">
    <cfRule type="expression" dxfId="4" priority="8120">
      <formula>AND(NOT(HasFormula(A2461)),A2461&lt;&gt;"")</formula>
    </cfRule>
  </conditionalFormatting>
  <conditionalFormatting sqref="I2455:L2455">
    <cfRule type="expression" dxfId="4" priority="8123">
      <formula>AND(NOT(HasFormula(E2461)),E2461&lt;&gt;"")</formula>
    </cfRule>
    <cfRule type="expression" dxfId="3" priority="8124">
      <formula>AND(NOT(HasFormula(A2455)),A2455&lt;&gt;"")</formula>
    </cfRule>
  </conditionalFormatting>
  <conditionalFormatting sqref="D2458">
    <cfRule type="expression" dxfId="4" priority="8119">
      <formula>AND(NOT(HasFormula(XFD2475)),XFD2475&lt;&gt;"")</formula>
    </cfRule>
  </conditionalFormatting>
  <conditionalFormatting sqref="E2458">
    <cfRule type="expression" dxfId="4" priority="8122">
      <formula>AND(NOT(HasFormula(A2475)),A2475&lt;&gt;"")</formula>
    </cfRule>
  </conditionalFormatting>
  <conditionalFormatting sqref="I2458:L2458">
    <cfRule type="expression" dxfId="4" priority="8127">
      <formula>AND(NOT(HasFormula(E2475)),E2475&lt;&gt;"")</formula>
    </cfRule>
    <cfRule type="expression" dxfId="3" priority="8128">
      <formula>AND(NOT(HasFormula(A2458)),A2458&lt;&gt;"")</formula>
    </cfRule>
  </conditionalFormatting>
  <conditionalFormatting sqref="D2459">
    <cfRule type="expression" dxfId="4" priority="8134">
      <formula>AND(NOT(HasFormula(XFD2463)),XFD2463&lt;&gt;"")</formula>
    </cfRule>
  </conditionalFormatting>
  <conditionalFormatting sqref="E2459">
    <cfRule type="expression" dxfId="4" priority="8136">
      <formula>AND(NOT(HasFormula(A2463)),A2463&lt;&gt;"")</formula>
    </cfRule>
  </conditionalFormatting>
  <conditionalFormatting sqref="I2459:L2459">
    <cfRule type="expression" dxfId="4" priority="8139">
      <formula>AND(NOT(HasFormula(E2463)),E2463&lt;&gt;"")</formula>
    </cfRule>
    <cfRule type="expression" dxfId="3" priority="8140">
      <formula>AND(NOT(HasFormula(A2459)),A2459&lt;&gt;"")</formula>
    </cfRule>
  </conditionalFormatting>
  <conditionalFormatting sqref="D2460">
    <cfRule type="expression" dxfId="4" priority="8146">
      <formula>AND(NOT(HasFormula(XFD2464)),XFD2464&lt;&gt;"")</formula>
    </cfRule>
  </conditionalFormatting>
  <conditionalFormatting sqref="E2460">
    <cfRule type="expression" dxfId="4" priority="8148">
      <formula>AND(NOT(HasFormula(A2464)),A2464&lt;&gt;"")</formula>
    </cfRule>
  </conditionalFormatting>
  <conditionalFormatting sqref="I2460:L2460">
    <cfRule type="expression" dxfId="4" priority="8151">
      <formula>AND(NOT(HasFormula(E2464)),E2464&lt;&gt;"")</formula>
    </cfRule>
    <cfRule type="expression" dxfId="3" priority="8152">
      <formula>AND(NOT(HasFormula(A2460)),A2460&lt;&gt;"")</formula>
    </cfRule>
  </conditionalFormatting>
  <conditionalFormatting sqref="D2462">
    <cfRule type="expression" dxfId="4" priority="8133">
      <formula>AND(NOT(HasFormula(XFD2459)),XFD2459&lt;&gt;"")</formula>
    </cfRule>
  </conditionalFormatting>
  <conditionalFormatting sqref="E2462">
    <cfRule type="expression" dxfId="4" priority="8135">
      <formula>AND(NOT(HasFormula(A2459)),A2459&lt;&gt;"")</formula>
    </cfRule>
  </conditionalFormatting>
  <conditionalFormatting sqref="I2462:L2462">
    <cfRule type="expression" dxfId="4" priority="8137">
      <formula>AND(NOT(HasFormula(E2459)),E2459&lt;&gt;"")</formula>
    </cfRule>
    <cfRule type="expression" dxfId="3" priority="8138">
      <formula>AND(NOT(HasFormula(A2462)),A2462&lt;&gt;"")</formula>
    </cfRule>
  </conditionalFormatting>
  <conditionalFormatting sqref="D2463">
    <cfRule type="expression" dxfId="4" priority="8145">
      <formula>AND(NOT(HasFormula(XFD2460)),XFD2460&lt;&gt;"")</formula>
    </cfRule>
  </conditionalFormatting>
  <conditionalFormatting sqref="E2463">
    <cfRule type="expression" dxfId="4" priority="8147">
      <formula>AND(NOT(HasFormula(A2460)),A2460&lt;&gt;"")</formula>
    </cfRule>
  </conditionalFormatting>
  <conditionalFormatting sqref="I2463:L2463">
    <cfRule type="expression" dxfId="4" priority="8149">
      <formula>AND(NOT(HasFormula(E2460)),E2460&lt;&gt;"")</formula>
    </cfRule>
    <cfRule type="expression" dxfId="3" priority="8150">
      <formula>AND(NOT(HasFormula(A2463)),A2463&lt;&gt;"")</formula>
    </cfRule>
  </conditionalFormatting>
  <conditionalFormatting sqref="D2474">
    <cfRule type="expression" dxfId="4" priority="8118">
      <formula>AND(NOT(HasFormula(XFD2456)),XFD2456&lt;&gt;"")</formula>
    </cfRule>
  </conditionalFormatting>
  <conditionalFormatting sqref="E2474">
    <cfRule type="expression" dxfId="4" priority="8121">
      <formula>AND(NOT(HasFormula(A2456)),A2456&lt;&gt;"")</formula>
    </cfRule>
  </conditionalFormatting>
  <conditionalFormatting sqref="I2474:L2474">
    <cfRule type="expression" dxfId="4" priority="8125">
      <formula>AND(NOT(HasFormula(E2456)),E2456&lt;&gt;"")</formula>
    </cfRule>
    <cfRule type="expression" dxfId="3" priority="8126">
      <formula>AND(NOT(HasFormula(A2474)),A2474&lt;&gt;"")</formula>
    </cfRule>
  </conditionalFormatting>
  <conditionalFormatting sqref="D2483">
    <cfRule type="expression" dxfId="4" priority="8161">
      <formula>AND(NOT(HasFormula(#REF!)),#REF!&lt;&gt;"")</formula>
    </cfRule>
  </conditionalFormatting>
  <conditionalFormatting sqref="E2483">
    <cfRule type="expression" dxfId="4" priority="8162">
      <formula>AND(NOT(HasFormula(#REF!)),#REF!&lt;&gt;"")</formula>
    </cfRule>
  </conditionalFormatting>
  <conditionalFormatting sqref="I2483:L2483">
    <cfRule type="expression" dxfId="4" priority="8163">
      <formula>AND(NOT(HasFormula(#REF!)),#REF!&lt;&gt;"")</formula>
    </cfRule>
    <cfRule type="expression" dxfId="3" priority="8164">
      <formula>AND(NOT(HasFormula(A2483)),A2483&lt;&gt;"")</formula>
    </cfRule>
  </conditionalFormatting>
  <conditionalFormatting sqref="D2484">
    <cfRule type="expression" dxfId="4" priority="8155">
      <formula>AND(NOT(HasFormula(XFD2486)),XFD2486&lt;&gt;"")</formula>
    </cfRule>
  </conditionalFormatting>
  <conditionalFormatting sqref="E2484">
    <cfRule type="expression" dxfId="4" priority="8156">
      <formula>AND(NOT(HasFormula(A2486)),A2486&lt;&gt;"")</formula>
    </cfRule>
  </conditionalFormatting>
  <conditionalFormatting sqref="I2484:L2484">
    <cfRule type="expression" dxfId="4" priority="8157">
      <formula>AND(NOT(HasFormula(E2486)),E2486&lt;&gt;"")</formula>
    </cfRule>
    <cfRule type="expression" dxfId="3" priority="8158">
      <formula>AND(NOT(HasFormula(A2484)),A2484&lt;&gt;"")</formula>
    </cfRule>
  </conditionalFormatting>
  <conditionalFormatting sqref="E2548">
    <cfRule type="expression" dxfId="4" priority="8172">
      <formula>AND(NOT(HasFormula(#REF!)),#REF!&lt;&gt;"")</formula>
    </cfRule>
  </conditionalFormatting>
  <conditionalFormatting sqref="H2548">
    <cfRule type="expression" dxfId="4" priority="8175">
      <formula>AND(NOT(HasFormula(#REF!)),#REF!&lt;&gt;"")</formula>
    </cfRule>
    <cfRule type="expression" dxfId="3" priority="8176">
      <formula>AND(NOT(HasFormula(XFD2548)),XFD2548&lt;&gt;"")</formula>
    </cfRule>
  </conditionalFormatting>
  <conditionalFormatting sqref="I2548:L2548">
    <cfRule type="expression" dxfId="4" priority="8173">
      <formula>AND(NOT(HasFormula(#REF!)),#REF!&lt;&gt;"")</formula>
    </cfRule>
    <cfRule type="expression" dxfId="3" priority="8174">
      <formula>AND(NOT(HasFormula(A2548)),A2548&lt;&gt;"")</formula>
    </cfRule>
  </conditionalFormatting>
  <conditionalFormatting sqref="D2554">
    <cfRule type="expression" dxfId="4" priority="8179">
      <formula>AND(NOT(HasFormula(#REF!)),#REF!&lt;&gt;"")</formula>
    </cfRule>
  </conditionalFormatting>
  <conditionalFormatting sqref="E2554">
    <cfRule type="expression" dxfId="4" priority="8180">
      <formula>AND(NOT(HasFormula(#REF!)),#REF!&lt;&gt;"")</formula>
    </cfRule>
  </conditionalFormatting>
  <conditionalFormatting sqref="H2554">
    <cfRule type="expression" dxfId="4" priority="8177">
      <formula>AND(NOT(HasFormula(#REF!)),#REF!&lt;&gt;"")</formula>
    </cfRule>
    <cfRule type="expression" dxfId="3" priority="8178">
      <formula>AND(NOT(HasFormula(XFD2554)),XFD2554&lt;&gt;"")</formula>
    </cfRule>
  </conditionalFormatting>
  <conditionalFormatting sqref="I2554:L2554">
    <cfRule type="expression" dxfId="4" priority="8181">
      <formula>AND(NOT(HasFormula(#REF!)),#REF!&lt;&gt;"")</formula>
    </cfRule>
    <cfRule type="expression" dxfId="3" priority="8182">
      <formula>AND(NOT(HasFormula(A2554)),A2554&lt;&gt;"")</formula>
    </cfRule>
  </conditionalFormatting>
  <conditionalFormatting sqref="D2576:E2576">
    <cfRule type="expression" dxfId="3" priority="520">
      <formula>AND(NOT(HasFormula(XEZ2576)),XEZ2576&lt;&gt;"")</formula>
    </cfRule>
  </conditionalFormatting>
  <conditionalFormatting sqref="D2576">
    <cfRule type="expression" dxfId="4" priority="519">
      <formula>AND(NOT(HasFormula(XFD2577)),XFD2577&lt;&gt;"")</formula>
    </cfRule>
    <cfRule type="expression" dxfId="2" priority="517">
      <formula>AND(NOT(_xlfn.ISFORMULA(D2576)),D2576&lt;&gt;"")</formula>
    </cfRule>
  </conditionalFormatting>
  <conditionalFormatting sqref="E2576">
    <cfRule type="expression" dxfId="4" priority="527">
      <formula>AND(NOT(HasFormula(A2577)),A2577&lt;&gt;"")</formula>
    </cfRule>
  </conditionalFormatting>
  <conditionalFormatting sqref="F2576">
    <cfRule type="containsText" dxfId="5" priority="522" operator="between" text="HRB500E">
      <formula>NOT(ISERROR(SEARCH("HRB500E",F2576)))</formula>
    </cfRule>
    <cfRule type="containsText" dxfId="6" priority="521" operator="between" text="12m">
      <formula>NOT(ISERROR(SEARCH("12m",F2576)))</formula>
    </cfRule>
  </conditionalFormatting>
  <conditionalFormatting sqref="I2576:L2576">
    <cfRule type="expression" dxfId="3" priority="526">
      <formula>AND(NOT(HasFormula(A2576)),A2576&lt;&gt;"")</formula>
    </cfRule>
    <cfRule type="expression" dxfId="4" priority="525">
      <formula>AND(NOT(HasFormula(E2577)),E2577&lt;&gt;"")</formula>
    </cfRule>
  </conditionalFormatting>
  <conditionalFormatting sqref="L2576:O2576">
    <cfRule type="containsText" dxfId="1" priority="516" operator="between" text="送货车型9.6米">
      <formula>NOT(ISERROR(SEARCH("送货车型9.6米",L2576)))</formula>
    </cfRule>
  </conditionalFormatting>
  <conditionalFormatting sqref="D2604">
    <cfRule type="expression" dxfId="4" priority="8185">
      <formula>AND(NOT(HasFormula(XFD2606)),XFD2606&lt;&gt;"")</formula>
    </cfRule>
  </conditionalFormatting>
  <conditionalFormatting sqref="E2604">
    <cfRule type="expression" dxfId="4" priority="8186">
      <formula>AND(NOT(HasFormula(A2606)),A2606&lt;&gt;"")</formula>
    </cfRule>
  </conditionalFormatting>
  <conditionalFormatting sqref="I2604:L2604">
    <cfRule type="expression" dxfId="4" priority="8187">
      <formula>AND(NOT(HasFormula(E2606)),E2606&lt;&gt;"")</formula>
    </cfRule>
    <cfRule type="expression" dxfId="3" priority="8188">
      <formula>AND(NOT(HasFormula(A2604)),A2604&lt;&gt;"")</formula>
    </cfRule>
  </conditionalFormatting>
  <conditionalFormatting sqref="D2611">
    <cfRule type="expression" dxfId="4" priority="8197">
      <formula>AND(NOT(HasFormula(#REF!)),#REF!&lt;&gt;"")</formula>
    </cfRule>
  </conditionalFormatting>
  <conditionalFormatting sqref="E2611">
    <cfRule type="expression" dxfId="4" priority="8198">
      <formula>AND(NOT(HasFormula(#REF!)),#REF!&lt;&gt;"")</formula>
    </cfRule>
  </conditionalFormatting>
  <conditionalFormatting sqref="I2611:L2611">
    <cfRule type="expression" dxfId="4" priority="8199">
      <formula>AND(NOT(HasFormula(#REF!)),#REF!&lt;&gt;"")</formula>
    </cfRule>
    <cfRule type="expression" dxfId="3" priority="8200">
      <formula>AND(NOT(HasFormula(A2611)),A2611&lt;&gt;"")</formula>
    </cfRule>
  </conditionalFormatting>
  <conditionalFormatting sqref="D2619">
    <cfRule type="expression" dxfId="4" priority="8203">
      <formula>AND(NOT(HasFormula(#REF!)),#REF!&lt;&gt;"")</formula>
    </cfRule>
  </conditionalFormatting>
  <conditionalFormatting sqref="E2619">
    <cfRule type="expression" dxfId="4" priority="8204">
      <formula>AND(NOT(HasFormula(#REF!)),#REF!&lt;&gt;"")</formula>
    </cfRule>
  </conditionalFormatting>
  <conditionalFormatting sqref="I2619:L2619">
    <cfRule type="expression" dxfId="4" priority="8205">
      <formula>AND(NOT(HasFormula(#REF!)),#REF!&lt;&gt;"")</formula>
    </cfRule>
    <cfRule type="expression" dxfId="3" priority="8206">
      <formula>AND(NOT(HasFormula(A2619)),A2619&lt;&gt;"")</formula>
    </cfRule>
  </conditionalFormatting>
  <conditionalFormatting sqref="D2643">
    <cfRule type="expression" dxfId="4" priority="8213">
      <formula>AND(NOT(HasFormula(#REF!)),#REF!&lt;&gt;"")</formula>
    </cfRule>
  </conditionalFormatting>
  <conditionalFormatting sqref="E2643">
    <cfRule type="expression" dxfId="4" priority="8214">
      <formula>AND(NOT(HasFormula(#REF!)),#REF!&lt;&gt;"")</formula>
    </cfRule>
  </conditionalFormatting>
  <conditionalFormatting sqref="I2643:L2643">
    <cfRule type="expression" dxfId="4" priority="8215">
      <formula>AND(NOT(HasFormula(#REF!)),#REF!&lt;&gt;"")</formula>
    </cfRule>
    <cfRule type="expression" dxfId="3" priority="8216">
      <formula>AND(NOT(HasFormula(A2643)),A2643&lt;&gt;"")</formula>
    </cfRule>
  </conditionalFormatting>
  <conditionalFormatting sqref="D2646">
    <cfRule type="expression" dxfId="4" priority="8209">
      <formula>AND(NOT(HasFormula(#REF!)),#REF!&lt;&gt;"")</formula>
    </cfRule>
  </conditionalFormatting>
  <conditionalFormatting sqref="E2646">
    <cfRule type="expression" dxfId="4" priority="8210">
      <formula>AND(NOT(HasFormula(#REF!)),#REF!&lt;&gt;"")</formula>
    </cfRule>
  </conditionalFormatting>
  <conditionalFormatting sqref="H2646">
    <cfRule type="expression" dxfId="4" priority="8239">
      <formula>AND(NOT(HasFormula(D2650)),D2650&lt;&gt;"")</formula>
    </cfRule>
    <cfRule type="expression" dxfId="3" priority="8240">
      <formula>AND(NOT(HasFormula(XFD2646)),XFD2646&lt;&gt;"")</formula>
    </cfRule>
  </conditionalFormatting>
  <conditionalFormatting sqref="I2646:L2646">
    <cfRule type="expression" dxfId="4" priority="8211">
      <formula>AND(NOT(HasFormula(#REF!)),#REF!&lt;&gt;"")</formula>
    </cfRule>
    <cfRule type="expression" dxfId="3" priority="8212">
      <formula>AND(NOT(HasFormula(A2646)),A2646&lt;&gt;"")</formula>
    </cfRule>
  </conditionalFormatting>
  <conditionalFormatting sqref="D2647">
    <cfRule type="expression" dxfId="4" priority="8227">
      <formula>AND(NOT(HasFormula(#REF!)),#REF!&lt;&gt;"")</formula>
    </cfRule>
  </conditionalFormatting>
  <conditionalFormatting sqref="E2647">
    <cfRule type="expression" dxfId="4" priority="8228">
      <formula>AND(NOT(HasFormula(#REF!)),#REF!&lt;&gt;"")</formula>
    </cfRule>
  </conditionalFormatting>
  <conditionalFormatting sqref="I2647:L2647">
    <cfRule type="expression" dxfId="4" priority="8229">
      <formula>AND(NOT(HasFormula(#REF!)),#REF!&lt;&gt;"")</formula>
    </cfRule>
    <cfRule type="expression" dxfId="3" priority="8230">
      <formula>AND(NOT(HasFormula(A2647)),A2647&lt;&gt;"")</formula>
    </cfRule>
  </conditionalFormatting>
  <conditionalFormatting sqref="D2649">
    <cfRule type="expression" dxfId="4" priority="8232">
      <formula>AND(NOT(HasFormula(XFD2647)),XFD2647&lt;&gt;"")</formula>
    </cfRule>
  </conditionalFormatting>
  <conditionalFormatting sqref="E2649">
    <cfRule type="expression" dxfId="4" priority="8234">
      <formula>AND(NOT(HasFormula(A2647)),A2647&lt;&gt;"")</formula>
    </cfRule>
  </conditionalFormatting>
  <conditionalFormatting sqref="I2649:L2649">
    <cfRule type="expression" dxfId="4" priority="8237">
      <formula>AND(NOT(HasFormula(E2647)),E2647&lt;&gt;"")</formula>
    </cfRule>
    <cfRule type="expression" dxfId="3" priority="8238">
      <formula>AND(NOT(HasFormula(A2649)),A2649&lt;&gt;"")</formula>
    </cfRule>
  </conditionalFormatting>
  <conditionalFormatting sqref="D2665">
    <cfRule type="expression" dxfId="4" priority="8219">
      <formula>AND(NOT(HasFormula(#REF!)),#REF!&lt;&gt;"")</formula>
    </cfRule>
  </conditionalFormatting>
  <conditionalFormatting sqref="E2665">
    <cfRule type="expression" dxfId="4" priority="8220">
      <formula>AND(NOT(HasFormula(#REF!)),#REF!&lt;&gt;"")</formula>
    </cfRule>
  </conditionalFormatting>
  <conditionalFormatting sqref="I2665:L2665">
    <cfRule type="expression" dxfId="4" priority="8221">
      <formula>AND(NOT(HasFormula(#REF!)),#REF!&lt;&gt;"")</formula>
    </cfRule>
    <cfRule type="expression" dxfId="3" priority="8222">
      <formula>AND(NOT(HasFormula(A2665)),A2665&lt;&gt;"")</formula>
    </cfRule>
  </conditionalFormatting>
  <conditionalFormatting sqref="D2669">
    <cfRule type="expression" dxfId="4" priority="8231">
      <formula>AND(NOT(HasFormula(XFD2648)),XFD2648&lt;&gt;"")</formula>
    </cfRule>
  </conditionalFormatting>
  <conditionalFormatting sqref="E2669">
    <cfRule type="expression" dxfId="4" priority="8233">
      <formula>AND(NOT(HasFormula(A2648)),A2648&lt;&gt;"")</formula>
    </cfRule>
  </conditionalFormatting>
  <conditionalFormatting sqref="I2669:L2669">
    <cfRule type="expression" dxfId="4" priority="8235">
      <formula>AND(NOT(HasFormula(E2648)),E2648&lt;&gt;"")</formula>
    </cfRule>
    <cfRule type="expression" dxfId="3" priority="8236">
      <formula>AND(NOT(HasFormula(A2669)),A2669&lt;&gt;"")</formula>
    </cfRule>
  </conditionalFormatting>
  <conditionalFormatting sqref="D2699">
    <cfRule type="expression" dxfId="4" priority="8243">
      <formula>AND(NOT(HasFormula(XFD2700)),XFD2700&lt;&gt;"")</formula>
    </cfRule>
  </conditionalFormatting>
  <conditionalFormatting sqref="E2699">
    <cfRule type="expression" dxfId="4" priority="8244">
      <formula>AND(NOT(HasFormula(A2700)),A2700&lt;&gt;"")</formula>
    </cfRule>
  </conditionalFormatting>
  <conditionalFormatting sqref="I2699:L2699">
    <cfRule type="expression" dxfId="4" priority="8245">
      <formula>AND(NOT(HasFormula(E2700)),E2700&lt;&gt;"")</formula>
    </cfRule>
    <cfRule type="expression" dxfId="3" priority="8246">
      <formula>AND(NOT(HasFormula(A2699)),A2699&lt;&gt;"")</formula>
    </cfRule>
  </conditionalFormatting>
  <conditionalFormatting sqref="D2709">
    <cfRule type="expression" dxfId="4" priority="8252">
      <formula>AND(NOT(HasFormula(#REF!)),#REF!&lt;&gt;"")</formula>
    </cfRule>
  </conditionalFormatting>
  <conditionalFormatting sqref="E2709">
    <cfRule type="expression" dxfId="4" priority="8253">
      <formula>AND(NOT(HasFormula(#REF!)),#REF!&lt;&gt;"")</formula>
    </cfRule>
  </conditionalFormatting>
  <conditionalFormatting sqref="I2709:L2709">
    <cfRule type="expression" dxfId="4" priority="8254">
      <formula>AND(NOT(HasFormula(#REF!)),#REF!&lt;&gt;"")</formula>
    </cfRule>
    <cfRule type="expression" dxfId="3" priority="8255">
      <formula>AND(NOT(HasFormula(A2709)),A2709&lt;&gt;"")</formula>
    </cfRule>
  </conditionalFormatting>
  <conditionalFormatting sqref="D2721">
    <cfRule type="expression" dxfId="4" priority="8262">
      <formula>AND(NOT(HasFormula(#REF!)),#REF!&lt;&gt;"")</formula>
    </cfRule>
  </conditionalFormatting>
  <conditionalFormatting sqref="E2721">
    <cfRule type="expression" dxfId="4" priority="8263">
      <formula>AND(NOT(HasFormula(#REF!)),#REF!&lt;&gt;"")</formula>
    </cfRule>
  </conditionalFormatting>
  <conditionalFormatting sqref="I2721:L2721">
    <cfRule type="expression" dxfId="4" priority="8264">
      <formula>AND(NOT(HasFormula(#REF!)),#REF!&lt;&gt;"")</formula>
    </cfRule>
    <cfRule type="expression" dxfId="3" priority="8265">
      <formula>AND(NOT(HasFormula(A2721)),A2721&lt;&gt;"")</formula>
    </cfRule>
  </conditionalFormatting>
  <conditionalFormatting sqref="D2794">
    <cfRule type="expression" dxfId="4" priority="8272">
      <formula>AND(NOT(HasFormula(XFD2796)),XFD2796&lt;&gt;"")</formula>
    </cfRule>
  </conditionalFormatting>
  <conditionalFormatting sqref="E2794">
    <cfRule type="expression" dxfId="4" priority="8273">
      <formula>AND(NOT(HasFormula(A2796)),A2796&lt;&gt;"")</formula>
    </cfRule>
  </conditionalFormatting>
  <conditionalFormatting sqref="I2794:L2794">
    <cfRule type="expression" dxfId="4" priority="8274">
      <formula>AND(NOT(HasFormula(E2796)),E2796&lt;&gt;"")</formula>
    </cfRule>
    <cfRule type="expression" dxfId="3" priority="8275">
      <formula>AND(NOT(HasFormula(A2794)),A2794&lt;&gt;"")</formula>
    </cfRule>
  </conditionalFormatting>
  <conditionalFormatting sqref="D2795">
    <cfRule type="expression" dxfId="4" priority="8276">
      <formula>AND(NOT(HasFormula(XFD2798)),XFD2798&lt;&gt;"")</formula>
    </cfRule>
  </conditionalFormatting>
  <conditionalFormatting sqref="E2795">
    <cfRule type="expression" dxfId="4" priority="8277">
      <formula>AND(NOT(HasFormula(A2798)),A2798&lt;&gt;"")</formula>
    </cfRule>
  </conditionalFormatting>
  <conditionalFormatting sqref="I2795:L2795">
    <cfRule type="expression" dxfId="4" priority="8286">
      <formula>AND(NOT(HasFormula(E2798)),E2798&lt;&gt;"")</formula>
    </cfRule>
    <cfRule type="expression" dxfId="3" priority="8287">
      <formula>AND(NOT(HasFormula(A2795)),A2795&lt;&gt;"")</formula>
    </cfRule>
  </conditionalFormatting>
  <conditionalFormatting sqref="D2808">
    <cfRule type="expression" dxfId="4" priority="8310">
      <formula>AND(NOT(HasFormula(XFD2813)),XFD2813&lt;&gt;"")</formula>
    </cfRule>
  </conditionalFormatting>
  <conditionalFormatting sqref="E2808">
    <cfRule type="expression" dxfId="4" priority="8313">
      <formula>AND(NOT(HasFormula(A2813)),A2813&lt;&gt;"")</formula>
    </cfRule>
  </conditionalFormatting>
  <conditionalFormatting sqref="I2808:L2808">
    <cfRule type="expression" dxfId="4" priority="8316">
      <formula>AND(NOT(HasFormula(E2813)),E2813&lt;&gt;"")</formula>
    </cfRule>
    <cfRule type="expression" dxfId="3" priority="8317">
      <formula>AND(NOT(HasFormula(A2808)),A2808&lt;&gt;"")</formula>
    </cfRule>
  </conditionalFormatting>
  <conditionalFormatting sqref="D2809">
    <cfRule type="expression" dxfId="4" priority="8330">
      <formula>AND(NOT(HasFormula(XFD2810)),XFD2810&lt;&gt;"")</formula>
    </cfRule>
  </conditionalFormatting>
  <conditionalFormatting sqref="E2809">
    <cfRule type="expression" dxfId="4" priority="8331">
      <formula>AND(NOT(HasFormula(A2810)),A2810&lt;&gt;"")</formula>
    </cfRule>
  </conditionalFormatting>
  <conditionalFormatting sqref="I2809:L2809">
    <cfRule type="expression" dxfId="4" priority="8332">
      <formula>AND(NOT(HasFormula(E2810)),E2810&lt;&gt;"")</formula>
    </cfRule>
    <cfRule type="expression" dxfId="3" priority="8333">
      <formula>AND(NOT(HasFormula(A2809)),A2809&lt;&gt;"")</formula>
    </cfRule>
  </conditionalFormatting>
  <conditionalFormatting sqref="D2810">
    <cfRule type="expression" dxfId="4" priority="8300">
      <formula>AND(NOT(HasFormula(#REF!)),#REF!&lt;&gt;"")</formula>
    </cfRule>
  </conditionalFormatting>
  <conditionalFormatting sqref="E2810">
    <cfRule type="expression" dxfId="4" priority="8301">
      <formula>AND(NOT(HasFormula(#REF!)),#REF!&lt;&gt;"")</formula>
    </cfRule>
  </conditionalFormatting>
  <conditionalFormatting sqref="I2810:L2810">
    <cfRule type="expression" dxfId="4" priority="8302">
      <formula>AND(NOT(HasFormula(#REF!)),#REF!&lt;&gt;"")</formula>
    </cfRule>
    <cfRule type="expression" dxfId="3" priority="8303">
      <formula>AND(NOT(HasFormula(A2810)),A2810&lt;&gt;"")</formula>
    </cfRule>
  </conditionalFormatting>
  <conditionalFormatting sqref="D2811">
    <cfRule type="expression" dxfId="4" priority="8311">
      <formula>AND(NOT(HasFormula(XFD2812)),XFD2812&lt;&gt;"")</formula>
    </cfRule>
  </conditionalFormatting>
  <conditionalFormatting sqref="E2811">
    <cfRule type="expression" dxfId="4" priority="8314">
      <formula>AND(NOT(HasFormula(A2812)),A2812&lt;&gt;"")</formula>
    </cfRule>
  </conditionalFormatting>
  <conditionalFormatting sqref="I2811:L2811">
    <cfRule type="expression" dxfId="4" priority="8318">
      <formula>AND(NOT(HasFormula(E2812)),E2812&lt;&gt;"")</formula>
    </cfRule>
    <cfRule type="expression" dxfId="3" priority="8319">
      <formula>AND(NOT(HasFormula(A2811)),A2811&lt;&gt;"")</formula>
    </cfRule>
  </conditionalFormatting>
  <conditionalFormatting sqref="D2812">
    <cfRule type="expression" dxfId="4" priority="8312">
      <formula>AND(NOT(HasFormula(XFD2809)),XFD2809&lt;&gt;"")</formula>
    </cfRule>
  </conditionalFormatting>
  <conditionalFormatting sqref="E2812">
    <cfRule type="expression" dxfId="4" priority="8315">
      <formula>AND(NOT(HasFormula(A2809)),A2809&lt;&gt;"")</formula>
    </cfRule>
  </conditionalFormatting>
  <conditionalFormatting sqref="I2812:L2812">
    <cfRule type="expression" dxfId="4" priority="8320">
      <formula>AND(NOT(HasFormula(E2809)),E2809&lt;&gt;"")</formula>
    </cfRule>
    <cfRule type="expression" dxfId="3" priority="8321">
      <formula>AND(NOT(HasFormula(A2812)),A2812&lt;&gt;"")</formula>
    </cfRule>
  </conditionalFormatting>
  <conditionalFormatting sqref="D2818">
    <cfRule type="expression" dxfId="4" priority="8294">
      <formula>AND(NOT(HasFormula(#REF!)),#REF!&lt;&gt;"")</formula>
    </cfRule>
  </conditionalFormatting>
  <conditionalFormatting sqref="E2818">
    <cfRule type="expression" dxfId="4" priority="8295">
      <formula>AND(NOT(HasFormula(#REF!)),#REF!&lt;&gt;"")</formula>
    </cfRule>
  </conditionalFormatting>
  <conditionalFormatting sqref="I2818:L2818">
    <cfRule type="expression" dxfId="4" priority="8296">
      <formula>AND(NOT(HasFormula(#REF!)),#REF!&lt;&gt;"")</formula>
    </cfRule>
    <cfRule type="expression" dxfId="3" priority="8297">
      <formula>AND(NOT(HasFormula(A2818)),A2818&lt;&gt;"")</formula>
    </cfRule>
  </conditionalFormatting>
  <conditionalFormatting sqref="D2825">
    <cfRule type="expression" dxfId="4" priority="8324">
      <formula>AND(NOT(HasFormula(XFD2811)),XFD2811&lt;&gt;"")</formula>
    </cfRule>
  </conditionalFormatting>
  <conditionalFormatting sqref="E2825">
    <cfRule type="expression" dxfId="4" priority="8325">
      <formula>AND(NOT(HasFormula(A2811)),A2811&lt;&gt;"")</formula>
    </cfRule>
  </conditionalFormatting>
  <conditionalFormatting sqref="I2825:L2825">
    <cfRule type="expression" dxfId="4" priority="8326">
      <formula>AND(NOT(HasFormula(E2811)),E2811&lt;&gt;"")</formula>
    </cfRule>
    <cfRule type="expression" dxfId="3" priority="8327">
      <formula>AND(NOT(HasFormula(A2825)),A2825&lt;&gt;"")</formula>
    </cfRule>
  </conditionalFormatting>
  <conditionalFormatting sqref="D2845">
    <cfRule type="expression" dxfId="4" priority="8358">
      <formula>AND(NOT(HasFormula(#REF!)),#REF!&lt;&gt;"")</formula>
    </cfRule>
  </conditionalFormatting>
  <conditionalFormatting sqref="E2845">
    <cfRule type="expression" dxfId="4" priority="8359">
      <formula>AND(NOT(HasFormula(#REF!)),#REF!&lt;&gt;"")</formula>
    </cfRule>
  </conditionalFormatting>
  <conditionalFormatting sqref="H2845">
    <cfRule type="expression" dxfId="4" priority="8356">
      <formula>AND(NOT(HasFormula(#REF!)),#REF!&lt;&gt;"")</formula>
    </cfRule>
    <cfRule type="expression" dxfId="3" priority="8357">
      <formula>AND(NOT(HasFormula(XFD2845)),XFD2845&lt;&gt;"")</formula>
    </cfRule>
  </conditionalFormatting>
  <conditionalFormatting sqref="I2845:L2845">
    <cfRule type="expression" dxfId="4" priority="8360">
      <formula>AND(NOT(HasFormula(#REF!)),#REF!&lt;&gt;"")</formula>
    </cfRule>
    <cfRule type="expression" dxfId="3" priority="8361">
      <formula>AND(NOT(HasFormula(A2845)),A2845&lt;&gt;"")</formula>
    </cfRule>
  </conditionalFormatting>
  <conditionalFormatting sqref="D2851">
    <cfRule type="expression" dxfId="4" priority="8336">
      <formula>AND(NOT(HasFormula(#REF!)),#REF!&lt;&gt;"")</formula>
    </cfRule>
  </conditionalFormatting>
  <conditionalFormatting sqref="E2851">
    <cfRule type="expression" dxfId="4" priority="8337">
      <formula>AND(NOT(HasFormula(#REF!)),#REF!&lt;&gt;"")</formula>
    </cfRule>
  </conditionalFormatting>
  <conditionalFormatting sqref="I2851:L2851">
    <cfRule type="expression" dxfId="4" priority="8338">
      <formula>AND(NOT(HasFormula(#REF!)),#REF!&lt;&gt;"")</formula>
    </cfRule>
    <cfRule type="expression" dxfId="3" priority="8339">
      <formula>AND(NOT(HasFormula(A2851)),A2851&lt;&gt;"")</formula>
    </cfRule>
  </conditionalFormatting>
  <conditionalFormatting sqref="D2852">
    <cfRule type="expression" dxfId="4" priority="8350">
      <formula>AND(NOT(HasFormula(XFD2854)),XFD2854&lt;&gt;"")</formula>
    </cfRule>
  </conditionalFormatting>
  <conditionalFormatting sqref="E2852">
    <cfRule type="expression" dxfId="4" priority="8351">
      <formula>AND(NOT(HasFormula(A2854)),A2854&lt;&gt;"")</formula>
    </cfRule>
  </conditionalFormatting>
  <conditionalFormatting sqref="I2852:L2852">
    <cfRule type="expression" dxfId="4" priority="8354">
      <formula>AND(NOT(HasFormula(E2854)),E2854&lt;&gt;"")</formula>
    </cfRule>
    <cfRule type="expression" dxfId="3" priority="8355">
      <formula>AND(NOT(HasFormula(A2852)),A2852&lt;&gt;"")</formula>
    </cfRule>
  </conditionalFormatting>
  <conditionalFormatting sqref="D2853">
    <cfRule type="expression" dxfId="4" priority="8340">
      <formula>AND(NOT(HasFormula(#REF!)),#REF!&lt;&gt;"")</formula>
    </cfRule>
  </conditionalFormatting>
  <conditionalFormatting sqref="E2853">
    <cfRule type="expression" dxfId="4" priority="8341">
      <formula>AND(NOT(HasFormula(#REF!)),#REF!&lt;&gt;"")</formula>
    </cfRule>
  </conditionalFormatting>
  <conditionalFormatting sqref="I2853:L2853">
    <cfRule type="expression" dxfId="4" priority="8348">
      <formula>AND(NOT(HasFormula(#REF!)),#REF!&lt;&gt;"")</formula>
    </cfRule>
    <cfRule type="expression" dxfId="3" priority="8349">
      <formula>AND(NOT(HasFormula(A2853)),A2853&lt;&gt;"")</formula>
    </cfRule>
  </conditionalFormatting>
  <conditionalFormatting sqref="D2891">
    <cfRule type="expression" dxfId="4" priority="8448">
      <formula>AND(NOT(HasFormula(#REF!)),#REF!&lt;&gt;"")</formula>
    </cfRule>
  </conditionalFormatting>
  <conditionalFormatting sqref="E2891">
    <cfRule type="expression" dxfId="4" priority="8449">
      <formula>AND(NOT(HasFormula(#REF!)),#REF!&lt;&gt;"")</formula>
    </cfRule>
  </conditionalFormatting>
  <conditionalFormatting sqref="H2891">
    <cfRule type="expression" dxfId="4" priority="8446">
      <formula>AND(NOT(HasFormula(#REF!)),#REF!&lt;&gt;"")</formula>
    </cfRule>
    <cfRule type="expression" dxfId="3" priority="8447">
      <formula>AND(NOT(HasFormula(XFD2891)),XFD2891&lt;&gt;"")</formula>
    </cfRule>
  </conditionalFormatting>
  <conditionalFormatting sqref="J2891:K2891">
    <cfRule type="expression" dxfId="4" priority="8364">
      <formula>AND(NOT(HasFormula(F2892)),F2892&lt;&gt;"")</formula>
    </cfRule>
    <cfRule type="expression" dxfId="3" priority="8365">
      <formula>AND(NOT(HasFormula(B2891)),B2891&lt;&gt;"")</formula>
    </cfRule>
  </conditionalFormatting>
  <conditionalFormatting sqref="D2927">
    <cfRule type="expression" dxfId="4" priority="8386">
      <formula>AND(NOT(HasFormula(#REF!)),#REF!&lt;&gt;"")</formula>
    </cfRule>
  </conditionalFormatting>
  <conditionalFormatting sqref="E2927">
    <cfRule type="expression" dxfId="4" priority="8387">
      <formula>AND(NOT(HasFormula(#REF!)),#REF!&lt;&gt;"")</formula>
    </cfRule>
  </conditionalFormatting>
  <conditionalFormatting sqref="H2927">
    <cfRule type="expression" dxfId="4" priority="8384">
      <formula>AND(NOT(HasFormula(#REF!)),#REF!&lt;&gt;"")</formula>
    </cfRule>
    <cfRule type="expression" dxfId="3" priority="8385">
      <formula>AND(NOT(HasFormula(XFD2927)),XFD2927&lt;&gt;"")</formula>
    </cfRule>
  </conditionalFormatting>
  <conditionalFormatting sqref="I2927:L2927">
    <cfRule type="expression" dxfId="4" priority="8388">
      <formula>AND(NOT(HasFormula(#REF!)),#REF!&lt;&gt;"")</formula>
    </cfRule>
    <cfRule type="expression" dxfId="3" priority="8389">
      <formula>AND(NOT(HasFormula(A2927)),A2927&lt;&gt;"")</formula>
    </cfRule>
  </conditionalFormatting>
  <conditionalFormatting sqref="D2931">
    <cfRule type="expression" dxfId="4" priority="8396">
      <formula>AND(NOT(HasFormula(#REF!)),#REF!&lt;&gt;"")</formula>
    </cfRule>
  </conditionalFormatting>
  <conditionalFormatting sqref="E2931">
    <cfRule type="expression" dxfId="4" priority="8397">
      <formula>AND(NOT(HasFormula(#REF!)),#REF!&lt;&gt;"")</formula>
    </cfRule>
  </conditionalFormatting>
  <conditionalFormatting sqref="H2931">
    <cfRule type="expression" dxfId="4" priority="8398">
      <formula>AND(NOT(HasFormula(#REF!)),#REF!&lt;&gt;"")</formula>
    </cfRule>
    <cfRule type="expression" dxfId="3" priority="8399">
      <formula>AND(NOT(HasFormula(XFD2931)),XFD2931&lt;&gt;"")</formula>
    </cfRule>
  </conditionalFormatting>
  <conditionalFormatting sqref="I2931:L2931">
    <cfRule type="expression" dxfId="4" priority="8412">
      <formula>AND(NOT(HasFormula(#REF!)),#REF!&lt;&gt;"")</formula>
    </cfRule>
    <cfRule type="expression" dxfId="3" priority="8413">
      <formula>AND(NOT(HasFormula(A2931)),A2931&lt;&gt;"")</formula>
    </cfRule>
  </conditionalFormatting>
  <conditionalFormatting sqref="D2933">
    <cfRule type="expression" dxfId="4" priority="8405">
      <formula>AND(NOT(HasFormula(XFD2938)),XFD2938&lt;&gt;"")</formula>
    </cfRule>
  </conditionalFormatting>
  <conditionalFormatting sqref="E2933">
    <cfRule type="expression" dxfId="4" priority="8407">
      <formula>AND(NOT(HasFormula(A2938)),A2938&lt;&gt;"")</formula>
    </cfRule>
  </conditionalFormatting>
  <conditionalFormatting sqref="I2933:L2933">
    <cfRule type="expression" dxfId="4" priority="8410">
      <formula>AND(NOT(HasFormula(E2938)),E2938&lt;&gt;"")</formula>
    </cfRule>
    <cfRule type="expression" dxfId="3" priority="8411">
      <formula>AND(NOT(HasFormula(A2933)),A2933&lt;&gt;"")</formula>
    </cfRule>
  </conditionalFormatting>
  <conditionalFormatting sqref="D2935">
    <cfRule type="expression" dxfId="4" priority="8418">
      <formula>AND(NOT(HasFormula(XFD2937)),XFD2937&lt;&gt;"")</formula>
    </cfRule>
  </conditionalFormatting>
  <conditionalFormatting sqref="E2935">
    <cfRule type="expression" dxfId="4" priority="8420">
      <formula>AND(NOT(HasFormula(A2937)),A2937&lt;&gt;"")</formula>
    </cfRule>
  </conditionalFormatting>
  <conditionalFormatting sqref="I2935:L2935">
    <cfRule type="expression" dxfId="4" priority="8422">
      <formula>AND(NOT(HasFormula(E2937)),E2937&lt;&gt;"")</formula>
    </cfRule>
    <cfRule type="expression" dxfId="3" priority="8423">
      <formula>AND(NOT(HasFormula(A2935)),A2935&lt;&gt;"")</formula>
    </cfRule>
  </conditionalFormatting>
  <conditionalFormatting sqref="D2936">
    <cfRule type="expression" dxfId="4" priority="8404">
      <formula>AND(NOT(HasFormula(XFD2932)),XFD2932&lt;&gt;"")</formula>
    </cfRule>
  </conditionalFormatting>
  <conditionalFormatting sqref="E2936">
    <cfRule type="expression" dxfId="4" priority="8406">
      <formula>AND(NOT(HasFormula(A2932)),A2932&lt;&gt;"")</formula>
    </cfRule>
  </conditionalFormatting>
  <conditionalFormatting sqref="I2936:L2936">
    <cfRule type="expression" dxfId="4" priority="8408">
      <formula>AND(NOT(HasFormula(E2932)),E2932&lt;&gt;"")</formula>
    </cfRule>
    <cfRule type="expression" dxfId="3" priority="8409">
      <formula>AND(NOT(HasFormula(A2936)),A2936&lt;&gt;"")</formula>
    </cfRule>
  </conditionalFormatting>
  <conditionalFormatting sqref="D2937">
    <cfRule type="expression" dxfId="4" priority="8419">
      <formula>AND(NOT(HasFormula(XFD2936)),XFD2936&lt;&gt;"")</formula>
    </cfRule>
  </conditionalFormatting>
  <conditionalFormatting sqref="E2937">
    <cfRule type="expression" dxfId="4" priority="8421">
      <formula>AND(NOT(HasFormula(A2936)),A2936&lt;&gt;"")</formula>
    </cfRule>
  </conditionalFormatting>
  <conditionalFormatting sqref="I2937:L2937">
    <cfRule type="expression" dxfId="4" priority="8424">
      <formula>AND(NOT(HasFormula(E2936)),E2936&lt;&gt;"")</formula>
    </cfRule>
    <cfRule type="expression" dxfId="3" priority="8425">
      <formula>AND(NOT(HasFormula(A2937)),A2937&lt;&gt;"")</formula>
    </cfRule>
  </conditionalFormatting>
  <conditionalFormatting sqref="C2996">
    <cfRule type="timePeriod" dxfId="7" priority="416" timePeriod="yesterday">
      <formula>FLOOR(C2996,1)=TODAY()-1</formula>
    </cfRule>
  </conditionalFormatting>
  <conditionalFormatting sqref="D2999">
    <cfRule type="expression" dxfId="4" priority="428">
      <formula>AND(NOT(HasFormula(XFD3001)),XFD3001&lt;&gt;"")</formula>
    </cfRule>
  </conditionalFormatting>
  <conditionalFormatting sqref="E2999">
    <cfRule type="expression" dxfId="4" priority="429">
      <formula>AND(NOT(HasFormula(A3001)),A3001&lt;&gt;"")</formula>
    </cfRule>
  </conditionalFormatting>
  <conditionalFormatting sqref="I2999:L2999">
    <cfRule type="expression" dxfId="4" priority="430">
      <formula>AND(NOT(HasFormula(E3001)),E3001&lt;&gt;"")</formula>
    </cfRule>
    <cfRule type="expression" dxfId="3" priority="431">
      <formula>AND(NOT(HasFormula(A2999)),A2999&lt;&gt;"")</formula>
    </cfRule>
  </conditionalFormatting>
  <conditionalFormatting sqref="D3023">
    <cfRule type="expression" dxfId="4" priority="8438">
      <formula>AND(NOT(HasFormula(XFD3025)),XFD3025&lt;&gt;"")</formula>
    </cfRule>
  </conditionalFormatting>
  <conditionalFormatting sqref="E3023">
    <cfRule type="expression" dxfId="4" priority="8439">
      <formula>AND(NOT(HasFormula(A3025)),A3025&lt;&gt;"")</formula>
    </cfRule>
  </conditionalFormatting>
  <conditionalFormatting sqref="I3023:L3023">
    <cfRule type="expression" dxfId="4" priority="8440">
      <formula>AND(NOT(HasFormula(E3025)),E3025&lt;&gt;"")</formula>
    </cfRule>
    <cfRule type="expression" dxfId="3" priority="8441">
      <formula>AND(NOT(HasFormula(A3023)),A3023&lt;&gt;"")</formula>
    </cfRule>
  </conditionalFormatting>
  <conditionalFormatting sqref="D3024">
    <cfRule type="expression" dxfId="4" priority="8452">
      <formula>AND(NOT(HasFormula(#REF!)),#REF!&lt;&gt;"")</formula>
    </cfRule>
  </conditionalFormatting>
  <conditionalFormatting sqref="E3024">
    <cfRule type="expression" dxfId="4" priority="8453">
      <formula>AND(NOT(HasFormula(#REF!)),#REF!&lt;&gt;"")</formula>
    </cfRule>
  </conditionalFormatting>
  <conditionalFormatting sqref="I3024:L3024">
    <cfRule type="expression" dxfId="4" priority="8458">
      <formula>AND(NOT(HasFormula(#REF!)),#REF!&lt;&gt;"")</formula>
    </cfRule>
    <cfRule type="expression" dxfId="3" priority="8459">
      <formula>AND(NOT(HasFormula(A3024)),A3024&lt;&gt;"")</formula>
    </cfRule>
  </conditionalFormatting>
  <conditionalFormatting sqref="D3028">
    <cfRule type="expression" dxfId="4" priority="8460">
      <formula>AND(NOT(HasFormula(#REF!)),#REF!&lt;&gt;"")</formula>
    </cfRule>
  </conditionalFormatting>
  <conditionalFormatting sqref="E3028">
    <cfRule type="expression" dxfId="4" priority="8461">
      <formula>AND(NOT(HasFormula(#REF!)),#REF!&lt;&gt;"")</formula>
    </cfRule>
  </conditionalFormatting>
  <conditionalFormatting sqref="I3028:L3028">
    <cfRule type="expression" dxfId="4" priority="8462">
      <formula>AND(NOT(HasFormula(#REF!)),#REF!&lt;&gt;"")</formula>
    </cfRule>
    <cfRule type="expression" dxfId="3" priority="8463">
      <formula>AND(NOT(HasFormula(A3028)),A3028&lt;&gt;"")</formula>
    </cfRule>
  </conditionalFormatting>
  <conditionalFormatting sqref="D3040">
    <cfRule type="expression" dxfId="4" priority="8442">
      <formula>AND(NOT(HasFormula(#REF!)),#REF!&lt;&gt;"")</formula>
    </cfRule>
  </conditionalFormatting>
  <conditionalFormatting sqref="E3040">
    <cfRule type="expression" dxfId="4" priority="8443">
      <formula>AND(NOT(HasFormula(#REF!)),#REF!&lt;&gt;"")</formula>
    </cfRule>
  </conditionalFormatting>
  <conditionalFormatting sqref="I3040:L3040">
    <cfRule type="expression" dxfId="4" priority="8444">
      <formula>AND(NOT(HasFormula(#REF!)),#REF!&lt;&gt;"")</formula>
    </cfRule>
    <cfRule type="expression" dxfId="3" priority="8445">
      <formula>AND(NOT(HasFormula(A3040)),A3040&lt;&gt;"")</formula>
    </cfRule>
  </conditionalFormatting>
  <conditionalFormatting sqref="D3045">
    <cfRule type="expression" dxfId="4" priority="326">
      <formula>AND(NOT(HasFormula(XFD3047)),XFD3047&lt;&gt;"")</formula>
    </cfRule>
  </conditionalFormatting>
  <conditionalFormatting sqref="E3045">
    <cfRule type="expression" dxfId="4" priority="327">
      <formula>AND(NOT(HasFormula(A3047)),A3047&lt;&gt;"")</formula>
    </cfRule>
  </conditionalFormatting>
  <conditionalFormatting sqref="I3045:L3045">
    <cfRule type="expression" dxfId="4" priority="328">
      <formula>AND(NOT(HasFormula(E3047)),E3047&lt;&gt;"")</formula>
    </cfRule>
    <cfRule type="expression" dxfId="3" priority="329">
      <formula>AND(NOT(HasFormula(A3045)),A3045&lt;&gt;"")</formula>
    </cfRule>
  </conditionalFormatting>
  <conditionalFormatting sqref="D3050">
    <cfRule type="expression" dxfId="4" priority="339">
      <formula>AND(NOT(HasFormula(XFD3052)),XFD3052&lt;&gt;"")</formula>
    </cfRule>
  </conditionalFormatting>
  <conditionalFormatting sqref="E3050">
    <cfRule type="expression" dxfId="4" priority="340">
      <formula>AND(NOT(HasFormula(A3052)),A3052&lt;&gt;"")</formula>
    </cfRule>
  </conditionalFormatting>
  <conditionalFormatting sqref="I3050:L3050">
    <cfRule type="expression" dxfId="4" priority="341">
      <formula>AND(NOT(HasFormula(E3052)),E3052&lt;&gt;"")</formula>
    </cfRule>
    <cfRule type="expression" dxfId="3" priority="342">
      <formula>AND(NOT(HasFormula(A3050)),A3050&lt;&gt;"")</formula>
    </cfRule>
  </conditionalFormatting>
  <conditionalFormatting sqref="D3054">
    <cfRule type="expression" dxfId="2" priority="8470">
      <formula>AND(NOT(_xlfn.ISFORMULA(D3054)),D3054&lt;&gt;"")</formula>
    </cfRule>
    <cfRule type="expression" dxfId="4" priority="8471">
      <formula>AND(NOT(HasFormula(#REF!)),#REF!&lt;&gt;"")</formula>
    </cfRule>
  </conditionalFormatting>
  <conditionalFormatting sqref="E3054">
    <cfRule type="expression" dxfId="4" priority="8472">
      <formula>AND(NOT(HasFormula(#REF!)),#REF!&lt;&gt;"")</formula>
    </cfRule>
  </conditionalFormatting>
  <conditionalFormatting sqref="I3054:L3054">
    <cfRule type="expression" dxfId="4" priority="8473">
      <formula>AND(NOT(HasFormula(#REF!)),#REF!&lt;&gt;"")</formula>
    </cfRule>
    <cfRule type="expression" dxfId="3" priority="8474">
      <formula>AND(NOT(HasFormula(A3054)),A3054&lt;&gt;"")</formula>
    </cfRule>
  </conditionalFormatting>
  <conditionalFormatting sqref="E3055">
    <cfRule type="expression" dxfId="4" priority="8465">
      <formula>AND(NOT(HasFormula(A3055)),A3055&lt;&gt;"")</formula>
    </cfRule>
  </conditionalFormatting>
  <conditionalFormatting sqref="I3055">
    <cfRule type="expression" dxfId="4" priority="8466">
      <formula>AND(NOT(HasFormula(E3056)),E3056&lt;&gt;"")</formula>
    </cfRule>
    <cfRule type="expression" dxfId="3" priority="8467">
      <formula>AND(NOT(HasFormula(#REF!)),#REF!&lt;&gt;"")</formula>
    </cfRule>
  </conditionalFormatting>
  <conditionalFormatting sqref="I3056">
    <cfRule type="expression" dxfId="4" priority="8468">
      <formula>AND(NOT(HasFormula(E3057)),E3057&lt;&gt;"")</formula>
    </cfRule>
    <cfRule type="expression" dxfId="3" priority="8469">
      <formula>AND(NOT(HasFormula(A3055)),A3055&lt;&gt;"")</formula>
    </cfRule>
  </conditionalFormatting>
  <conditionalFormatting sqref="D3088">
    <cfRule type="expression" dxfId="2" priority="8481">
      <formula>AND(NOT(_xlfn.ISFORMULA(D3088)),D3088&lt;&gt;"")</formula>
    </cfRule>
    <cfRule type="expression" dxfId="4" priority="8482">
      <formula>AND(NOT(HasFormula(XFD3092)),XFD3092&lt;&gt;"")</formula>
    </cfRule>
  </conditionalFormatting>
  <conditionalFormatting sqref="I3088:L3088">
    <cfRule type="expression" dxfId="4" priority="8483">
      <formula>AND(NOT(HasFormula(E3092)),E3092&lt;&gt;"")</formula>
    </cfRule>
    <cfRule type="expression" dxfId="3" priority="8484">
      <formula>AND(NOT(HasFormula(A3088)),A3088&lt;&gt;"")</formula>
    </cfRule>
  </conditionalFormatting>
  <conditionalFormatting sqref="M3089">
    <cfRule type="containsText" dxfId="1" priority="283" operator="between" text="送货车型9.6米">
      <formula>NOT(ISERROR(SEARCH("送货车型9.6米",M3089)))</formula>
    </cfRule>
  </conditionalFormatting>
  <conditionalFormatting sqref="D3100">
    <cfRule type="expression" dxfId="4" priority="8477">
      <formula>AND(NOT(HasFormula(XFD3102)),XFD3102&lt;&gt;"")</formula>
    </cfRule>
  </conditionalFormatting>
  <conditionalFormatting sqref="E3100">
    <cfRule type="expression" dxfId="4" priority="8478">
      <formula>AND(NOT(HasFormula(A3102)),A3102&lt;&gt;"")</formula>
    </cfRule>
  </conditionalFormatting>
  <conditionalFormatting sqref="I3100:L3100">
    <cfRule type="expression" dxfId="4" priority="8479">
      <formula>AND(NOT(HasFormula(E3102)),E3102&lt;&gt;"")</formula>
    </cfRule>
    <cfRule type="expression" dxfId="3" priority="8480">
      <formula>AND(NOT(HasFormula(A3100)),A3100&lt;&gt;"")</formula>
    </cfRule>
  </conditionalFormatting>
  <conditionalFormatting sqref="D3101">
    <cfRule type="expression" dxfId="4" priority="8523">
      <formula>AND(NOT(HasFormula(#REF!)),#REF!&lt;&gt;"")</formula>
    </cfRule>
  </conditionalFormatting>
  <conditionalFormatting sqref="E3101">
    <cfRule type="expression" dxfId="4" priority="8524">
      <formula>AND(NOT(HasFormula(#REF!)),#REF!&lt;&gt;"")</formula>
    </cfRule>
  </conditionalFormatting>
  <conditionalFormatting sqref="I3101:L3101">
    <cfRule type="expression" dxfId="4" priority="8529">
      <formula>AND(NOT(HasFormula(#REF!)),#REF!&lt;&gt;"")</formula>
    </cfRule>
    <cfRule type="expression" dxfId="3" priority="8530">
      <formula>AND(NOT(HasFormula(A3101)),A3101&lt;&gt;"")</formula>
    </cfRule>
  </conditionalFormatting>
  <conditionalFormatting sqref="D3102">
    <cfRule type="expression" dxfId="4" priority="8525">
      <formula>AND(NOT(HasFormula(#REF!)),#REF!&lt;&gt;"")</formula>
    </cfRule>
  </conditionalFormatting>
  <conditionalFormatting sqref="E3102">
    <cfRule type="expression" dxfId="4" priority="8526">
      <formula>AND(NOT(HasFormula(#REF!)),#REF!&lt;&gt;"")</formula>
    </cfRule>
  </conditionalFormatting>
  <conditionalFormatting sqref="I3102:L3102">
    <cfRule type="expression" dxfId="4" priority="8527">
      <formula>AND(NOT(HasFormula(#REF!)),#REF!&lt;&gt;"")</formula>
    </cfRule>
    <cfRule type="expression" dxfId="3" priority="8528">
      <formula>AND(NOT(HasFormula(A3102)),A3102&lt;&gt;"")</formula>
    </cfRule>
  </conditionalFormatting>
  <conditionalFormatting sqref="D3133">
    <cfRule type="expression" dxfId="4" priority="8519">
      <formula>AND(NOT(HasFormula(#REF!)),#REF!&lt;&gt;"")</formula>
    </cfRule>
  </conditionalFormatting>
  <conditionalFormatting sqref="E3133">
    <cfRule type="expression" dxfId="4" priority="8520">
      <formula>AND(NOT(HasFormula(#REF!)),#REF!&lt;&gt;"")</formula>
    </cfRule>
  </conditionalFormatting>
  <conditionalFormatting sqref="H3133">
    <cfRule type="expression" dxfId="4" priority="8543">
      <formula>AND(NOT(HasFormula(#REF!)),#REF!&lt;&gt;"")</formula>
    </cfRule>
    <cfRule type="expression" dxfId="3" priority="8544">
      <formula>AND(NOT(HasFormula(XFD3133)),XFD3133&lt;&gt;"")</formula>
    </cfRule>
  </conditionalFormatting>
  <conditionalFormatting sqref="I3133:L3133">
    <cfRule type="expression" dxfId="4" priority="8521">
      <formula>AND(NOT(HasFormula(#REF!)),#REF!&lt;&gt;"")</formula>
    </cfRule>
    <cfRule type="expression" dxfId="3" priority="8522">
      <formula>AND(NOT(HasFormula(A3133)),A3133&lt;&gt;"")</formula>
    </cfRule>
  </conditionalFormatting>
  <conditionalFormatting sqref="D3154">
    <cfRule type="expression" dxfId="4" priority="8539">
      <formula>AND(NOT(HasFormula(#REF!)),#REF!&lt;&gt;"")</formula>
    </cfRule>
  </conditionalFormatting>
  <conditionalFormatting sqref="E3154">
    <cfRule type="expression" dxfId="4" priority="8540">
      <formula>AND(NOT(HasFormula(#REF!)),#REF!&lt;&gt;"")</formula>
    </cfRule>
  </conditionalFormatting>
  <conditionalFormatting sqref="I3154:L3154">
    <cfRule type="expression" dxfId="4" priority="8541">
      <formula>AND(NOT(HasFormula(#REF!)),#REF!&lt;&gt;"")</formula>
    </cfRule>
    <cfRule type="expression" dxfId="3" priority="8542">
      <formula>AND(NOT(HasFormula(A3154)),A3154&lt;&gt;"")</formula>
    </cfRule>
  </conditionalFormatting>
  <conditionalFormatting sqref="D3205">
    <cfRule type="expression" dxfId="4" priority="251">
      <formula>AND(NOT(HasFormula(#REF!)),#REF!&lt;&gt;"")</formula>
    </cfRule>
  </conditionalFormatting>
  <conditionalFormatting sqref="E3205">
    <cfRule type="expression" dxfId="4" priority="252">
      <formula>AND(NOT(HasFormula(#REF!)),#REF!&lt;&gt;"")</formula>
    </cfRule>
  </conditionalFormatting>
  <conditionalFormatting sqref="I3205:L3205">
    <cfRule type="expression" dxfId="3" priority="254">
      <formula>AND(NOT(HasFormula(A3205)),A3205&lt;&gt;"")</formula>
    </cfRule>
    <cfRule type="expression" dxfId="4" priority="253">
      <formula>AND(NOT(HasFormula(#REF!)),#REF!&lt;&gt;"")</formula>
    </cfRule>
  </conditionalFormatting>
  <conditionalFormatting sqref="D3206">
    <cfRule type="expression" dxfId="4" priority="8551">
      <formula>AND(NOT(HasFormula(XFD3208)),XFD3208&lt;&gt;"")</formula>
    </cfRule>
  </conditionalFormatting>
  <conditionalFormatting sqref="E3206">
    <cfRule type="expression" dxfId="4" priority="8552">
      <formula>AND(NOT(HasFormula(A3208)),A3208&lt;&gt;"")</formula>
    </cfRule>
  </conditionalFormatting>
  <conditionalFormatting sqref="I3206:L3206">
    <cfRule type="expression" dxfId="4" priority="8553">
      <formula>AND(NOT(HasFormula(E3208)),E3208&lt;&gt;"")</formula>
    </cfRule>
    <cfRule type="expression" dxfId="3" priority="8554">
      <formula>AND(NOT(HasFormula(A3206)),A3206&lt;&gt;"")</formula>
    </cfRule>
  </conditionalFormatting>
  <conditionalFormatting sqref="D3207">
    <cfRule type="expression" dxfId="4" priority="8555">
      <formula>AND(NOT(HasFormula(XFD3210)),XFD3210&lt;&gt;"")</formula>
    </cfRule>
  </conditionalFormatting>
  <conditionalFormatting sqref="E3207">
    <cfRule type="expression" dxfId="4" priority="8556">
      <formula>AND(NOT(HasFormula(A3210)),A3210&lt;&gt;"")</formula>
    </cfRule>
  </conditionalFormatting>
  <conditionalFormatting sqref="I3207:L3207">
    <cfRule type="expression" dxfId="4" priority="8561">
      <formula>AND(NOT(HasFormula(E3210)),E3210&lt;&gt;"")</formula>
    </cfRule>
    <cfRule type="expression" dxfId="3" priority="8562">
      <formula>AND(NOT(HasFormula(A3207)),A3207&lt;&gt;"")</formula>
    </cfRule>
  </conditionalFormatting>
  <conditionalFormatting sqref="D3208">
    <cfRule type="expression" dxfId="4" priority="8557">
      <formula>AND(NOT(HasFormula(XFD3210)),XFD3210&lt;&gt;"")</formula>
    </cfRule>
  </conditionalFormatting>
  <conditionalFormatting sqref="E3208">
    <cfRule type="expression" dxfId="4" priority="8558">
      <formula>AND(NOT(HasFormula(A3210)),A3210&lt;&gt;"")</formula>
    </cfRule>
  </conditionalFormatting>
  <conditionalFormatting sqref="I3208:L3208">
    <cfRule type="expression" dxfId="4" priority="8559">
      <formula>AND(NOT(HasFormula(E3210)),E3210&lt;&gt;"")</formula>
    </cfRule>
    <cfRule type="expression" dxfId="3" priority="8560">
      <formula>AND(NOT(HasFormula(A3208)),A3208&lt;&gt;"")</formula>
    </cfRule>
  </conditionalFormatting>
  <conditionalFormatting sqref="D3209">
    <cfRule type="expression" dxfId="4" priority="8563">
      <formula>AND(NOT(HasFormula(XFD3212)),XFD3212&lt;&gt;"")</formula>
    </cfRule>
  </conditionalFormatting>
  <conditionalFormatting sqref="E3209">
    <cfRule type="expression" dxfId="4" priority="8564">
      <formula>AND(NOT(HasFormula(A3212)),A3212&lt;&gt;"")</formula>
    </cfRule>
  </conditionalFormatting>
  <conditionalFormatting sqref="I3209:L3209">
    <cfRule type="expression" dxfId="4" priority="8569">
      <formula>AND(NOT(HasFormula(E3212)),E3212&lt;&gt;"")</formula>
    </cfRule>
    <cfRule type="expression" dxfId="3" priority="8570">
      <formula>AND(NOT(HasFormula(A3209)),A3209&lt;&gt;"")</formula>
    </cfRule>
  </conditionalFormatting>
  <conditionalFormatting sqref="D3210">
    <cfRule type="expression" dxfId="4" priority="8565">
      <formula>AND(NOT(HasFormula(XFD3212)),XFD3212&lt;&gt;"")</formula>
    </cfRule>
  </conditionalFormatting>
  <conditionalFormatting sqref="E3210">
    <cfRule type="expression" dxfId="4" priority="8566">
      <formula>AND(NOT(HasFormula(A3212)),A3212&lt;&gt;"")</formula>
    </cfRule>
  </conditionalFormatting>
  <conditionalFormatting sqref="I3210:L3210">
    <cfRule type="expression" dxfId="4" priority="8567">
      <formula>AND(NOT(HasFormula(E3212)),E3212&lt;&gt;"")</formula>
    </cfRule>
    <cfRule type="expression" dxfId="3" priority="8568">
      <formula>AND(NOT(HasFormula(A3210)),A3210&lt;&gt;"")</formula>
    </cfRule>
  </conditionalFormatting>
  <conditionalFormatting sqref="D3211">
    <cfRule type="expression" dxfId="4" priority="8571">
      <formula>AND(NOT(HasFormula(XFD3214)),XFD3214&lt;&gt;"")</formula>
    </cfRule>
  </conditionalFormatting>
  <conditionalFormatting sqref="E3211">
    <cfRule type="expression" dxfId="4" priority="8572">
      <formula>AND(NOT(HasFormula(A3214)),A3214&lt;&gt;"")</formula>
    </cfRule>
  </conditionalFormatting>
  <conditionalFormatting sqref="I3211:L3211">
    <cfRule type="expression" dxfId="4" priority="8577">
      <formula>AND(NOT(HasFormula(E3214)),E3214&lt;&gt;"")</formula>
    </cfRule>
    <cfRule type="expression" dxfId="3" priority="8578">
      <formula>AND(NOT(HasFormula(A3211)),A3211&lt;&gt;"")</formula>
    </cfRule>
  </conditionalFormatting>
  <conditionalFormatting sqref="D3256">
    <cfRule type="expression" dxfId="4" priority="8547">
      <formula>AND(NOT(HasFormula(#REF!)),#REF!&lt;&gt;"")</formula>
    </cfRule>
  </conditionalFormatting>
  <conditionalFormatting sqref="E3256">
    <cfRule type="expression" dxfId="4" priority="8548">
      <formula>AND(NOT(HasFormula(#REF!)),#REF!&lt;&gt;"")</formula>
    </cfRule>
  </conditionalFormatting>
  <conditionalFormatting sqref="I3256:L3256">
    <cfRule type="expression" dxfId="4" priority="8549">
      <formula>AND(NOT(HasFormula(#REF!)),#REF!&lt;&gt;"")</formula>
    </cfRule>
    <cfRule type="expression" dxfId="3" priority="8550">
      <formula>AND(NOT(HasFormula(A3256)),A3256&lt;&gt;"")</formula>
    </cfRule>
  </conditionalFormatting>
  <conditionalFormatting sqref="D3318">
    <cfRule type="expression" dxfId="4" priority="8597">
      <formula>AND(NOT(HasFormula(#REF!)),#REF!&lt;&gt;"")</formula>
    </cfRule>
  </conditionalFormatting>
  <conditionalFormatting sqref="E3318">
    <cfRule type="expression" dxfId="4" priority="8598">
      <formula>AND(NOT(HasFormula(#REF!)),#REF!&lt;&gt;"")</formula>
    </cfRule>
  </conditionalFormatting>
  <conditionalFormatting sqref="I3318:L3318">
    <cfRule type="expression" dxfId="4" priority="8599">
      <formula>AND(NOT(HasFormula(#REF!)),#REF!&lt;&gt;"")</formula>
    </cfRule>
    <cfRule type="expression" dxfId="3" priority="8600">
      <formula>AND(NOT(HasFormula(A3318)),A3318&lt;&gt;"")</formula>
    </cfRule>
  </conditionalFormatting>
  <conditionalFormatting sqref="D3319">
    <cfRule type="expression" dxfId="4" priority="8593">
      <formula>AND(NOT(HasFormula(#REF!)),#REF!&lt;&gt;"")</formula>
    </cfRule>
  </conditionalFormatting>
  <conditionalFormatting sqref="E3319">
    <cfRule type="expression" dxfId="4" priority="8594">
      <formula>AND(NOT(HasFormula(#REF!)),#REF!&lt;&gt;"")</formula>
    </cfRule>
  </conditionalFormatting>
  <conditionalFormatting sqref="I3319:L3319">
    <cfRule type="expression" dxfId="4" priority="8595">
      <formula>AND(NOT(HasFormula(#REF!)),#REF!&lt;&gt;"")</formula>
    </cfRule>
    <cfRule type="expression" dxfId="3" priority="8596">
      <formula>AND(NOT(HasFormula(A3319)),A3319&lt;&gt;"")</formula>
    </cfRule>
  </conditionalFormatting>
  <conditionalFormatting sqref="D3329">
    <cfRule type="expression" dxfId="4" priority="8605">
      <formula>AND(NOT(HasFormula(#REF!)),#REF!&lt;&gt;"")</formula>
    </cfRule>
  </conditionalFormatting>
  <conditionalFormatting sqref="E3329">
    <cfRule type="expression" dxfId="4" priority="8606">
      <formula>AND(NOT(HasFormula(#REF!)),#REF!&lt;&gt;"")</formula>
    </cfRule>
  </conditionalFormatting>
  <conditionalFormatting sqref="I3329:L3329">
    <cfRule type="expression" dxfId="4" priority="8607">
      <formula>AND(NOT(HasFormula(#REF!)),#REF!&lt;&gt;"")</formula>
    </cfRule>
    <cfRule type="expression" dxfId="3" priority="8608">
      <formula>AND(NOT(HasFormula(A3329)),A3329&lt;&gt;"")</formula>
    </cfRule>
  </conditionalFormatting>
  <conditionalFormatting sqref="D3338">
    <cfRule type="expression" dxfId="4" priority="8609">
      <formula>AND(NOT(HasFormula(#REF!)),#REF!&lt;&gt;"")</formula>
    </cfRule>
  </conditionalFormatting>
  <conditionalFormatting sqref="E3338">
    <cfRule type="expression" dxfId="4" priority="8610">
      <formula>AND(NOT(HasFormula(#REF!)),#REF!&lt;&gt;"")</formula>
    </cfRule>
  </conditionalFormatting>
  <conditionalFormatting sqref="I3338:L3338">
    <cfRule type="expression" dxfId="4" priority="8611">
      <formula>AND(NOT(HasFormula(#REF!)),#REF!&lt;&gt;"")</formula>
    </cfRule>
    <cfRule type="expression" dxfId="3" priority="8612">
      <formula>AND(NOT(HasFormula(A3338)),A3338&lt;&gt;"")</formula>
    </cfRule>
  </conditionalFormatting>
  <conditionalFormatting sqref="D3346">
    <cfRule type="expression" dxfId="4" priority="8617">
      <formula>AND(NOT(HasFormula(XFD3348)),XFD3348&lt;&gt;"")</formula>
    </cfRule>
  </conditionalFormatting>
  <conditionalFormatting sqref="E3346">
    <cfRule type="expression" dxfId="4" priority="8618">
      <formula>AND(NOT(HasFormula(A3348)),A3348&lt;&gt;"")</formula>
    </cfRule>
  </conditionalFormatting>
  <conditionalFormatting sqref="C3347">
    <cfRule type="timePeriod" dxfId="7" priority="218" timePeriod="yesterday">
      <formula>FLOOR(C3347,1)=TODAY()-1</formula>
    </cfRule>
  </conditionalFormatting>
  <conditionalFormatting sqref="D3347:E3347">
    <cfRule type="expression" dxfId="3" priority="220">
      <formula>AND(NOT(HasFormula(XEZ3347)),XEZ3347&lt;&gt;"")</formula>
    </cfRule>
  </conditionalFormatting>
  <conditionalFormatting sqref="D3347">
    <cfRule type="expression" dxfId="4" priority="219">
      <formula>AND(NOT(HasFormula(XFD3348)),XFD3348&lt;&gt;"")</formula>
    </cfRule>
    <cfRule type="expression" dxfId="2" priority="217">
      <formula>AND(NOT(_xlfn.ISFORMULA(D3347)),D3347&lt;&gt;"")</formula>
    </cfRule>
  </conditionalFormatting>
  <conditionalFormatting sqref="E3347">
    <cfRule type="expression" dxfId="4" priority="221">
      <formula>AND(NOT(HasFormula(A3348)),A3348&lt;&gt;"")</formula>
    </cfRule>
  </conditionalFormatting>
  <conditionalFormatting sqref="D3375">
    <cfRule type="expression" dxfId="4" priority="8651">
      <formula>AND(NOT(HasFormula(#REF!)),#REF!&lt;&gt;"")</formula>
    </cfRule>
  </conditionalFormatting>
  <conditionalFormatting sqref="E3375">
    <cfRule type="expression" dxfId="4" priority="8652">
      <formula>AND(NOT(HasFormula(#REF!)),#REF!&lt;&gt;"")</formula>
    </cfRule>
  </conditionalFormatting>
  <conditionalFormatting sqref="I3375:L3375">
    <cfRule type="expression" dxfId="4" priority="8653">
      <formula>AND(NOT(HasFormula(#REF!)),#REF!&lt;&gt;"")</formula>
    </cfRule>
    <cfRule type="expression" dxfId="3" priority="8654">
      <formula>AND(NOT(HasFormula(A3375)),A3375&lt;&gt;"")</formula>
    </cfRule>
  </conditionalFormatting>
  <conditionalFormatting sqref="D3474">
    <cfRule type="expression" dxfId="4" priority="8747">
      <formula>AND(NOT(HasFormula(#REF!)),#REF!&lt;&gt;"")</formula>
    </cfRule>
  </conditionalFormatting>
  <conditionalFormatting sqref="E3474">
    <cfRule type="expression" dxfId="4" priority="8748">
      <formula>AND(NOT(HasFormula(#REF!)),#REF!&lt;&gt;"")</formula>
    </cfRule>
  </conditionalFormatting>
  <conditionalFormatting sqref="H3474">
    <cfRule type="expression" dxfId="4" priority="8745">
      <formula>AND(NOT(HasFormula(#REF!)),#REF!&lt;&gt;"")</formula>
    </cfRule>
    <cfRule type="expression" dxfId="3" priority="8746">
      <formula>AND(NOT(HasFormula(XFD3474)),XFD3474&lt;&gt;"")</formula>
    </cfRule>
  </conditionalFormatting>
  <conditionalFormatting sqref="I3474:L3474">
    <cfRule type="expression" dxfId="4" priority="8749">
      <formula>AND(NOT(HasFormula(#REF!)),#REF!&lt;&gt;"")</formula>
    </cfRule>
    <cfRule type="expression" dxfId="3" priority="8750">
      <formula>AND(NOT(HasFormula(A3474)),A3474&lt;&gt;"")</formula>
    </cfRule>
  </conditionalFormatting>
  <conditionalFormatting sqref="D3475">
    <cfRule type="expression" dxfId="4" priority="8757">
      <formula>AND(NOT(HasFormula(#REF!)),#REF!&lt;&gt;"")</formula>
    </cfRule>
  </conditionalFormatting>
  <conditionalFormatting sqref="E3475">
    <cfRule type="expression" dxfId="4" priority="8758">
      <formula>AND(NOT(HasFormula(#REF!)),#REF!&lt;&gt;"")</formula>
    </cfRule>
  </conditionalFormatting>
  <conditionalFormatting sqref="H3475">
    <cfRule type="expression" dxfId="4" priority="8755">
      <formula>AND(NOT(HasFormula(#REF!)),#REF!&lt;&gt;"")</formula>
    </cfRule>
    <cfRule type="expression" dxfId="3" priority="8756">
      <formula>AND(NOT(HasFormula(XFD3475)),XFD3475&lt;&gt;"")</formula>
    </cfRule>
  </conditionalFormatting>
  <conditionalFormatting sqref="I3475:L3475">
    <cfRule type="expression" dxfId="4" priority="8759">
      <formula>AND(NOT(HasFormula(#REF!)),#REF!&lt;&gt;"")</formula>
    </cfRule>
    <cfRule type="expression" dxfId="3" priority="8760">
      <formula>AND(NOT(HasFormula(A3475)),A3475&lt;&gt;"")</formula>
    </cfRule>
  </conditionalFormatting>
  <conditionalFormatting sqref="D3484">
    <cfRule type="expression" dxfId="4" priority="8723">
      <formula>AND(NOT(HasFormula(XFD3485)),XFD3485&lt;&gt;"")</formula>
    </cfRule>
  </conditionalFormatting>
  <conditionalFormatting sqref="E3484">
    <cfRule type="expression" dxfId="4" priority="8724">
      <formula>AND(NOT(HasFormula(A3485)),A3485&lt;&gt;"")</formula>
    </cfRule>
  </conditionalFormatting>
  <conditionalFormatting sqref="I3484:L3484">
    <cfRule type="expression" dxfId="4" priority="8725">
      <formula>AND(NOT(HasFormula(E3485)),E3485&lt;&gt;"")</formula>
    </cfRule>
    <cfRule type="expression" dxfId="3" priority="8726">
      <formula>AND(NOT(HasFormula(A3484)),A3484&lt;&gt;"")</formula>
    </cfRule>
  </conditionalFormatting>
  <conditionalFormatting sqref="D3485">
    <cfRule type="expression" dxfId="4" priority="8739">
      <formula>AND(NOT(HasFormula(XFD3486)),XFD3486&lt;&gt;"")</formula>
    </cfRule>
  </conditionalFormatting>
  <conditionalFormatting sqref="E3485">
    <cfRule type="expression" dxfId="4" priority="8740">
      <formula>AND(NOT(HasFormula(A3486)),A3486&lt;&gt;"")</formula>
    </cfRule>
  </conditionalFormatting>
  <conditionalFormatting sqref="I3485:L3485">
    <cfRule type="expression" dxfId="4" priority="8743">
      <formula>AND(NOT(HasFormula(E3486)),E3486&lt;&gt;"")</formula>
    </cfRule>
    <cfRule type="expression" dxfId="3" priority="8744">
      <formula>AND(NOT(HasFormula(A3485)),A3485&lt;&gt;"")</formula>
    </cfRule>
  </conditionalFormatting>
  <conditionalFormatting sqref="D3488">
    <cfRule type="expression" dxfId="4" priority="8771">
      <formula>AND(NOT(HasFormula(#REF!)),#REF!&lt;&gt;"")</formula>
    </cfRule>
  </conditionalFormatting>
  <conditionalFormatting sqref="E3488">
    <cfRule type="expression" dxfId="4" priority="8772">
      <formula>AND(NOT(HasFormula(#REF!)),#REF!&lt;&gt;"")</formula>
    </cfRule>
  </conditionalFormatting>
  <conditionalFormatting sqref="H3488">
    <cfRule type="expression" dxfId="4" priority="206">
      <formula>AND(NOT(HasFormula(#REF!)),#REF!&lt;&gt;"")</formula>
    </cfRule>
    <cfRule type="expression" dxfId="3" priority="207">
      <formula>AND(NOT(HasFormula(XFD3488)),XFD3488&lt;&gt;"")</formula>
    </cfRule>
  </conditionalFormatting>
  <conditionalFormatting sqref="I3488:L3488">
    <cfRule type="expression" dxfId="4" priority="8773">
      <formula>AND(NOT(HasFormula(#REF!)),#REF!&lt;&gt;"")</formula>
    </cfRule>
    <cfRule type="expression" dxfId="3" priority="8774">
      <formula>AND(NOT(HasFormula(A3488)),A3488&lt;&gt;"")</formula>
    </cfRule>
  </conditionalFormatting>
  <conditionalFormatting sqref="D3509">
    <cfRule type="expression" dxfId="4" priority="8767">
      <formula>AND(NOT(HasFormula(#REF!)),#REF!&lt;&gt;"")</formula>
    </cfRule>
  </conditionalFormatting>
  <conditionalFormatting sqref="E3509">
    <cfRule type="expression" dxfId="4" priority="8768">
      <formula>AND(NOT(HasFormula(#REF!)),#REF!&lt;&gt;"")</formula>
    </cfRule>
  </conditionalFormatting>
  <conditionalFormatting sqref="I3509:L3509">
    <cfRule type="expression" dxfId="4" priority="8769">
      <formula>AND(NOT(HasFormula(#REF!)),#REF!&lt;&gt;"")</formula>
    </cfRule>
    <cfRule type="expression" dxfId="3" priority="8770">
      <formula>AND(NOT(HasFormula(A3509)),A3509&lt;&gt;"")</formula>
    </cfRule>
  </conditionalFormatting>
  <conditionalFormatting sqref="H3569">
    <cfRule type="expression" dxfId="4" priority="8789">
      <formula>AND(NOT(HasFormula(D3572)),D3572&lt;&gt;"")</formula>
    </cfRule>
    <cfRule type="expression" dxfId="3" priority="8790">
      <formula>AND(NOT(HasFormula(XFD3569)),XFD3569&lt;&gt;"")</formula>
    </cfRule>
  </conditionalFormatting>
  <conditionalFormatting sqref="D3571">
    <cfRule type="expression" dxfId="4" priority="8783">
      <formula>AND(NOT(HasFormula(XFD3573)),XFD3573&lt;&gt;"")</formula>
    </cfRule>
  </conditionalFormatting>
  <conditionalFormatting sqref="E3571">
    <cfRule type="expression" dxfId="4" priority="8784">
      <formula>AND(NOT(HasFormula(A3573)),A3573&lt;&gt;"")</formula>
    </cfRule>
  </conditionalFormatting>
  <conditionalFormatting sqref="I3571:L3571">
    <cfRule type="expression" dxfId="4" priority="8785">
      <formula>AND(NOT(HasFormula(E3573)),E3573&lt;&gt;"")</formula>
    </cfRule>
    <cfRule type="expression" dxfId="3" priority="8786">
      <formula>AND(NOT(HasFormula(A3571)),A3571&lt;&gt;"")</formula>
    </cfRule>
  </conditionalFormatting>
  <conditionalFormatting sqref="D3581">
    <cfRule type="expression" dxfId="4" priority="8795">
      <formula>AND(NOT(HasFormula(#REF!)),#REF!&lt;&gt;"")</formula>
    </cfRule>
  </conditionalFormatting>
  <conditionalFormatting sqref="E3581">
    <cfRule type="expression" dxfId="4" priority="8796">
      <formula>AND(NOT(HasFormula(#REF!)),#REF!&lt;&gt;"")</formula>
    </cfRule>
  </conditionalFormatting>
  <conditionalFormatting sqref="H3581">
    <cfRule type="expression" dxfId="4" priority="8805">
      <formula>AND(NOT(HasFormula(#REF!)),#REF!&lt;&gt;"")</formula>
    </cfRule>
    <cfRule type="expression" dxfId="3" priority="8806">
      <formula>AND(NOT(HasFormula(XFD3581)),XFD3581&lt;&gt;"")</formula>
    </cfRule>
  </conditionalFormatting>
  <conditionalFormatting sqref="I3581:L3581">
    <cfRule type="expression" dxfId="4" priority="8797">
      <formula>AND(NOT(HasFormula(#REF!)),#REF!&lt;&gt;"")</formula>
    </cfRule>
    <cfRule type="expression" dxfId="3" priority="8798">
      <formula>AND(NOT(HasFormula(A3581)),A3581&lt;&gt;"")</formula>
    </cfRule>
  </conditionalFormatting>
  <conditionalFormatting sqref="D3586">
    <cfRule type="expression" dxfId="4" priority="8801">
      <formula>AND(NOT(HasFormula(#REF!)),#REF!&lt;&gt;"")</formula>
    </cfRule>
  </conditionalFormatting>
  <conditionalFormatting sqref="E3586">
    <cfRule type="expression" dxfId="4" priority="8802">
      <formula>AND(NOT(HasFormula(#REF!)),#REF!&lt;&gt;"")</formula>
    </cfRule>
  </conditionalFormatting>
  <conditionalFormatting sqref="H3586">
    <cfRule type="expression" dxfId="4" priority="8799">
      <formula>AND(NOT(HasFormula(#REF!)),#REF!&lt;&gt;"")</formula>
    </cfRule>
    <cfRule type="expression" dxfId="3" priority="8800">
      <formula>AND(NOT(HasFormula(XFD3586)),XFD3586&lt;&gt;"")</formula>
    </cfRule>
  </conditionalFormatting>
  <conditionalFormatting sqref="I3586:L3586">
    <cfRule type="expression" dxfId="4" priority="8803">
      <formula>AND(NOT(HasFormula(#REF!)),#REF!&lt;&gt;"")</formula>
    </cfRule>
    <cfRule type="expression" dxfId="3" priority="8804">
      <formula>AND(NOT(HasFormula(A3586)),A3586&lt;&gt;"")</formula>
    </cfRule>
  </conditionalFormatting>
  <conditionalFormatting sqref="D3593">
    <cfRule type="expression" dxfId="4" priority="8845">
      <formula>AND(NOT(HasFormula(#REF!)),#REF!&lt;&gt;"")</formula>
    </cfRule>
  </conditionalFormatting>
  <conditionalFormatting sqref="E3593">
    <cfRule type="expression" dxfId="4" priority="8846">
      <formula>AND(NOT(HasFormula(#REF!)),#REF!&lt;&gt;"")</formula>
    </cfRule>
  </conditionalFormatting>
  <conditionalFormatting sqref="I3593:L3593">
    <cfRule type="expression" dxfId="4" priority="8847">
      <formula>AND(NOT(HasFormula(#REF!)),#REF!&lt;&gt;"")</formula>
    </cfRule>
    <cfRule type="expression" dxfId="3" priority="8848">
      <formula>AND(NOT(HasFormula(A3593)),A3593&lt;&gt;"")</formula>
    </cfRule>
  </conditionalFormatting>
  <conditionalFormatting sqref="D3606">
    <cfRule type="expression" dxfId="4" priority="8812">
      <formula>AND(NOT(HasFormula(XFD3605)),XFD3605&lt;&gt;"")</formula>
    </cfRule>
  </conditionalFormatting>
  <conditionalFormatting sqref="E3606">
    <cfRule type="expression" dxfId="4" priority="8814">
      <formula>AND(NOT(HasFormula(A3605)),A3605&lt;&gt;"")</formula>
    </cfRule>
  </conditionalFormatting>
  <conditionalFormatting sqref="I3606:L3606">
    <cfRule type="expression" dxfId="4" priority="8817">
      <formula>AND(NOT(HasFormula(E3605)),E3605&lt;&gt;"")</formula>
    </cfRule>
    <cfRule type="expression" dxfId="3" priority="8818">
      <formula>AND(NOT(HasFormula(A3606)),A3606&lt;&gt;"")</formula>
    </cfRule>
  </conditionalFormatting>
  <conditionalFormatting sqref="D3607">
    <cfRule type="expression" dxfId="4" priority="8821">
      <formula>AND(NOT(HasFormula(XFD3609)),XFD3609&lt;&gt;"")</formula>
    </cfRule>
  </conditionalFormatting>
  <conditionalFormatting sqref="E3607">
    <cfRule type="expression" dxfId="4" priority="8822">
      <formula>AND(NOT(HasFormula(A3609)),A3609&lt;&gt;"")</formula>
    </cfRule>
  </conditionalFormatting>
  <conditionalFormatting sqref="I3607:L3607">
    <cfRule type="expression" dxfId="4" priority="8823">
      <formula>AND(NOT(HasFormula(E3609)),E3609&lt;&gt;"")</formula>
    </cfRule>
    <cfRule type="expression" dxfId="3" priority="8824">
      <formula>AND(NOT(HasFormula(A3607)),A3607&lt;&gt;"")</formula>
    </cfRule>
  </conditionalFormatting>
  <conditionalFormatting sqref="D3608">
    <cfRule type="expression" dxfId="4" priority="8825">
      <formula>AND(NOT(HasFormula(XFD3611)),XFD3611&lt;&gt;"")</formula>
    </cfRule>
  </conditionalFormatting>
  <conditionalFormatting sqref="E3608">
    <cfRule type="expression" dxfId="4" priority="8826">
      <formula>AND(NOT(HasFormula(A3611)),A3611&lt;&gt;"")</formula>
    </cfRule>
  </conditionalFormatting>
  <conditionalFormatting sqref="I3608:L3608">
    <cfRule type="expression" dxfId="4" priority="8835">
      <formula>AND(NOT(HasFormula(E3611)),E3611&lt;&gt;"")</formula>
    </cfRule>
    <cfRule type="expression" dxfId="3" priority="8836">
      <formula>AND(NOT(HasFormula(A3608)),A3608&lt;&gt;"")</formula>
    </cfRule>
  </conditionalFormatting>
  <conditionalFormatting sqref="D3672">
    <cfRule type="expression" dxfId="4" priority="8863">
      <formula>AND(NOT(HasFormula(XFD3675)),XFD3675&lt;&gt;"")</formula>
    </cfRule>
  </conditionalFormatting>
  <conditionalFormatting sqref="E3672">
    <cfRule type="expression" dxfId="4" priority="8864">
      <formula>AND(NOT(HasFormula(A3675)),A3675&lt;&gt;"")</formula>
    </cfRule>
  </conditionalFormatting>
  <conditionalFormatting sqref="I3672:L3672">
    <cfRule type="expression" dxfId="4" priority="8865">
      <formula>AND(NOT(HasFormula(E3675)),E3675&lt;&gt;"")</formula>
    </cfRule>
    <cfRule type="expression" dxfId="3" priority="8866">
      <formula>AND(NOT(HasFormula(A3672)),A3672&lt;&gt;"")</formula>
    </cfRule>
  </conditionalFormatting>
  <conditionalFormatting sqref="D3761">
    <cfRule type="expression" dxfId="4" priority="8911">
      <formula>AND(NOT(HasFormula(#REF!)),#REF!&lt;&gt;"")</formula>
    </cfRule>
  </conditionalFormatting>
  <conditionalFormatting sqref="E3761">
    <cfRule type="expression" dxfId="4" priority="8912">
      <formula>AND(NOT(HasFormula(#REF!)),#REF!&lt;&gt;"")</formula>
    </cfRule>
  </conditionalFormatting>
  <conditionalFormatting sqref="I3761:L3761">
    <cfRule type="expression" dxfId="4" priority="8913">
      <formula>AND(NOT(HasFormula(#REF!)),#REF!&lt;&gt;"")</formula>
    </cfRule>
    <cfRule type="expression" dxfId="3" priority="8914">
      <formula>AND(NOT(HasFormula(A3761)),A3761&lt;&gt;"")</formula>
    </cfRule>
  </conditionalFormatting>
  <conditionalFormatting sqref="D3763">
    <cfRule type="expression" dxfId="4" priority="8887">
      <formula>AND(NOT(HasFormula(#REF!)),#REF!&lt;&gt;"")</formula>
    </cfRule>
  </conditionalFormatting>
  <conditionalFormatting sqref="E3763">
    <cfRule type="expression" dxfId="4" priority="8888">
      <formula>AND(NOT(HasFormula(#REF!)),#REF!&lt;&gt;"")</formula>
    </cfRule>
  </conditionalFormatting>
  <conditionalFormatting sqref="I3763:L3763">
    <cfRule type="expression" dxfId="4" priority="8889">
      <formula>AND(NOT(HasFormula(#REF!)),#REF!&lt;&gt;"")</formula>
    </cfRule>
    <cfRule type="expression" dxfId="3" priority="8890">
      <formula>AND(NOT(HasFormula(A3763)),A3763&lt;&gt;"")</formula>
    </cfRule>
  </conditionalFormatting>
  <conditionalFormatting sqref="D3766">
    <cfRule type="expression" dxfId="4" priority="8896">
      <formula>AND(NOT(HasFormula(XFD3762)),XFD3762&lt;&gt;"")</formula>
    </cfRule>
  </conditionalFormatting>
  <conditionalFormatting sqref="E3766">
    <cfRule type="expression" dxfId="4" priority="8898">
      <formula>AND(NOT(HasFormula(A3762)),A3762&lt;&gt;"")</formula>
    </cfRule>
  </conditionalFormatting>
  <conditionalFormatting sqref="I3766:L3766">
    <cfRule type="expression" dxfId="4" priority="8901">
      <formula>AND(NOT(HasFormula(E3762)),E3762&lt;&gt;"")</formula>
    </cfRule>
    <cfRule type="expression" dxfId="3" priority="8902">
      <formula>AND(NOT(HasFormula(A3766)),A3766&lt;&gt;"")</formula>
    </cfRule>
  </conditionalFormatting>
  <conditionalFormatting sqref="D3767">
    <cfRule type="expression" dxfId="4" priority="8903">
      <formula>AND(NOT(HasFormula(XFD3768)),XFD3768&lt;&gt;"")</formula>
    </cfRule>
  </conditionalFormatting>
  <conditionalFormatting sqref="E3767">
    <cfRule type="expression" dxfId="4" priority="8904">
      <formula>AND(NOT(HasFormula(A3768)),A3768&lt;&gt;"")</formula>
    </cfRule>
  </conditionalFormatting>
  <conditionalFormatting sqref="I3767:L3767">
    <cfRule type="expression" dxfId="4" priority="8907">
      <formula>AND(NOT(HasFormula(E3768)),E3768&lt;&gt;"")</formula>
    </cfRule>
    <cfRule type="expression" dxfId="3" priority="8908">
      <formula>AND(NOT(HasFormula(A3767)),A3767&lt;&gt;"")</formula>
    </cfRule>
  </conditionalFormatting>
  <conditionalFormatting sqref="D3776">
    <cfRule type="expression" dxfId="4" priority="8917">
      <formula>AND(NOT(HasFormula(#REF!)),#REF!&lt;&gt;"")</formula>
    </cfRule>
  </conditionalFormatting>
  <conditionalFormatting sqref="E3776">
    <cfRule type="expression" dxfId="4" priority="8918">
      <formula>AND(NOT(HasFormula(#REF!)),#REF!&lt;&gt;"")</formula>
    </cfRule>
  </conditionalFormatting>
  <conditionalFormatting sqref="I3776:L3776">
    <cfRule type="expression" dxfId="4" priority="8919">
      <formula>AND(NOT(HasFormula(#REF!)),#REF!&lt;&gt;"")</formula>
    </cfRule>
    <cfRule type="expression" dxfId="3" priority="8920">
      <formula>AND(NOT(HasFormula(A3776)),A3776&lt;&gt;"")</formula>
    </cfRule>
  </conditionalFormatting>
  <conditionalFormatting sqref="H3876">
    <cfRule type="expression" dxfId="4" priority="8939">
      <formula>AND(NOT(HasFormula(#REF!)),#REF!&lt;&gt;"")</formula>
    </cfRule>
    <cfRule type="expression" dxfId="3" priority="8940">
      <formula>AND(NOT(HasFormula(XFD3876)),XFD3876&lt;&gt;"")</formula>
    </cfRule>
  </conditionalFormatting>
  <conditionalFormatting sqref="D3888">
    <cfRule type="expression" dxfId="4" priority="8923">
      <formula>AND(NOT(HasFormula(#REF!)),#REF!&lt;&gt;"")</formula>
    </cfRule>
  </conditionalFormatting>
  <conditionalFormatting sqref="E3888">
    <cfRule type="expression" dxfId="4" priority="8924">
      <formula>AND(NOT(HasFormula(#REF!)),#REF!&lt;&gt;"")</formula>
    </cfRule>
  </conditionalFormatting>
  <conditionalFormatting sqref="I3888:L3888">
    <cfRule type="expression" dxfId="4" priority="8925">
      <formula>AND(NOT(HasFormula(#REF!)),#REF!&lt;&gt;"")</formula>
    </cfRule>
    <cfRule type="expression" dxfId="3" priority="8926">
      <formula>AND(NOT(HasFormula(A3888)),A3888&lt;&gt;"")</formula>
    </cfRule>
  </conditionalFormatting>
  <conditionalFormatting sqref="D3895">
    <cfRule type="expression" dxfId="4" priority="8951">
      <formula>AND(NOT(HasFormula(#REF!)),#REF!&lt;&gt;"")</formula>
    </cfRule>
  </conditionalFormatting>
  <conditionalFormatting sqref="E3895">
    <cfRule type="expression" dxfId="4" priority="8952">
      <formula>AND(NOT(HasFormula(#REF!)),#REF!&lt;&gt;"")</formula>
    </cfRule>
  </conditionalFormatting>
  <conditionalFormatting sqref="I3895:L3895">
    <cfRule type="expression" dxfId="4" priority="8953">
      <formula>AND(NOT(HasFormula(#REF!)),#REF!&lt;&gt;"")</formula>
    </cfRule>
    <cfRule type="expression" dxfId="3" priority="8954">
      <formula>AND(NOT(HasFormula(A3895)),A3895&lt;&gt;"")</formula>
    </cfRule>
  </conditionalFormatting>
  <conditionalFormatting sqref="D3896">
    <cfRule type="expression" dxfId="4" priority="8929">
      <formula>AND(NOT(HasFormula(XFD3898)),XFD3898&lt;&gt;"")</formula>
    </cfRule>
  </conditionalFormatting>
  <conditionalFormatting sqref="E3896">
    <cfRule type="expression" dxfId="4" priority="8930">
      <formula>AND(NOT(HasFormula(A3898)),A3898&lt;&gt;"")</formula>
    </cfRule>
  </conditionalFormatting>
  <conditionalFormatting sqref="I3896:L3896">
    <cfRule type="expression" dxfId="4" priority="8931">
      <formula>AND(NOT(HasFormula(E3898)),E3898&lt;&gt;"")</formula>
    </cfRule>
    <cfRule type="expression" dxfId="3" priority="8932">
      <formula>AND(NOT(HasFormula(A3896)),A3896&lt;&gt;"")</formula>
    </cfRule>
  </conditionalFormatting>
  <conditionalFormatting sqref="D3968">
    <cfRule type="expression" dxfId="4" priority="8961">
      <formula>AND(NOT(HasFormula(#REF!)),#REF!&lt;&gt;"")</formula>
    </cfRule>
  </conditionalFormatting>
  <conditionalFormatting sqref="E3968">
    <cfRule type="expression" dxfId="4" priority="8962">
      <formula>AND(NOT(HasFormula(#REF!)),#REF!&lt;&gt;"")</formula>
    </cfRule>
  </conditionalFormatting>
  <conditionalFormatting sqref="I3968:L3968">
    <cfRule type="expression" dxfId="4" priority="8963">
      <formula>AND(NOT(HasFormula(#REF!)),#REF!&lt;&gt;"")</formula>
    </cfRule>
    <cfRule type="expression" dxfId="3" priority="8964">
      <formula>AND(NOT(HasFormula(A3968)),A3968&lt;&gt;"")</formula>
    </cfRule>
  </conditionalFormatting>
  <conditionalFormatting sqref="D4066">
    <cfRule type="expression" dxfId="4" priority="8971">
      <formula>AND(NOT(HasFormula(XFD4068)),XFD4068&lt;&gt;"")</formula>
    </cfRule>
  </conditionalFormatting>
  <conditionalFormatting sqref="E4066">
    <cfRule type="expression" dxfId="4" priority="8972">
      <formula>AND(NOT(HasFormula(A4068)),A4068&lt;&gt;"")</formula>
    </cfRule>
  </conditionalFormatting>
  <conditionalFormatting sqref="H4066">
    <cfRule type="expression" dxfId="4" priority="8969">
      <formula>AND(NOT(HasFormula(D4068)),D4068&lt;&gt;"")</formula>
    </cfRule>
    <cfRule type="expression" dxfId="3" priority="8970">
      <formula>AND(NOT(HasFormula(XFD4066)),XFD4066&lt;&gt;"")</formula>
    </cfRule>
  </conditionalFormatting>
  <conditionalFormatting sqref="I4066:L4066">
    <cfRule type="expression" dxfId="4" priority="8973">
      <formula>AND(NOT(HasFormula(E4068)),E4068&lt;&gt;"")</formula>
    </cfRule>
    <cfRule type="expression" dxfId="3" priority="8974">
      <formula>AND(NOT(HasFormula(A4066)),A4066&lt;&gt;"")</formula>
    </cfRule>
  </conditionalFormatting>
  <conditionalFormatting sqref="D4161">
    <cfRule type="expression" dxfId="4" priority="8983">
      <formula>AND(NOT(HasFormula(#REF!)),#REF!&lt;&gt;"")</formula>
    </cfRule>
  </conditionalFormatting>
  <conditionalFormatting sqref="E4161">
    <cfRule type="expression" dxfId="4" priority="8984">
      <formula>AND(NOT(HasFormula(#REF!)),#REF!&lt;&gt;"")</formula>
    </cfRule>
  </conditionalFormatting>
  <conditionalFormatting sqref="H4161">
    <cfRule type="expression" dxfId="4" priority="8981">
      <formula>AND(NOT(HasFormula(#REF!)),#REF!&lt;&gt;"")</formula>
    </cfRule>
    <cfRule type="expression" dxfId="3" priority="8982">
      <formula>AND(NOT(HasFormula(XFD4161)),XFD4161&lt;&gt;"")</formula>
    </cfRule>
  </conditionalFormatting>
  <conditionalFormatting sqref="I4161:L4161">
    <cfRule type="expression" dxfId="4" priority="8985">
      <formula>AND(NOT(HasFormula(#REF!)),#REF!&lt;&gt;"")</formula>
    </cfRule>
    <cfRule type="expression" dxfId="3" priority="8986">
      <formula>AND(NOT(HasFormula(A4161)),A4161&lt;&gt;"")</formula>
    </cfRule>
  </conditionalFormatting>
  <conditionalFormatting sqref="D4400">
    <cfRule type="expression" dxfId="4" priority="8989">
      <formula>AND(NOT(HasFormula(#REF!)),#REF!&lt;&gt;"")</formula>
    </cfRule>
  </conditionalFormatting>
  <conditionalFormatting sqref="E4400">
    <cfRule type="expression" dxfId="4" priority="8990">
      <formula>AND(NOT(HasFormula(#REF!)),#REF!&lt;&gt;"")</formula>
    </cfRule>
  </conditionalFormatting>
  <conditionalFormatting sqref="H4400">
    <cfRule type="expression" dxfId="4" priority="8987">
      <formula>AND(NOT(HasFormula(#REF!)),#REF!&lt;&gt;"")</formula>
    </cfRule>
    <cfRule type="expression" dxfId="3" priority="8988">
      <formula>AND(NOT(HasFormula(XFD4400)),XFD4400&lt;&gt;"")</formula>
    </cfRule>
  </conditionalFormatting>
  <conditionalFormatting sqref="I4400:L4400">
    <cfRule type="expression" dxfId="4" priority="8991">
      <formula>AND(NOT(HasFormula(#REF!)),#REF!&lt;&gt;"")</formula>
    </cfRule>
    <cfRule type="expression" dxfId="3" priority="8992">
      <formula>AND(NOT(HasFormula(A4400)),A4400&lt;&gt;"")</formula>
    </cfRule>
  </conditionalFormatting>
  <conditionalFormatting sqref="D4401">
    <cfRule type="expression" dxfId="4" priority="9089">
      <formula>AND(NOT(HasFormula(#REF!)),#REF!&lt;&gt;"")</formula>
    </cfRule>
  </conditionalFormatting>
  <conditionalFormatting sqref="E4401">
    <cfRule type="expression" dxfId="4" priority="9090">
      <formula>AND(NOT(HasFormula(#REF!)),#REF!&lt;&gt;"")</formula>
    </cfRule>
  </conditionalFormatting>
  <conditionalFormatting sqref="H4401">
    <cfRule type="expression" dxfId="3" priority="91">
      <formula>AND(NOT(HasFormula(XFD4401)),XFD4401&lt;&gt;"")</formula>
    </cfRule>
    <cfRule type="expression" dxfId="4" priority="90">
      <formula>AND(NOT(HasFormula(#REF!)),#REF!&lt;&gt;"")</formula>
    </cfRule>
  </conditionalFormatting>
  <conditionalFormatting sqref="I4401:L4401">
    <cfRule type="expression" dxfId="4" priority="9091">
      <formula>AND(NOT(HasFormula(#REF!)),#REF!&lt;&gt;"")</formula>
    </cfRule>
    <cfRule type="expression" dxfId="3" priority="9092">
      <formula>AND(NOT(HasFormula(A4401)),A4401&lt;&gt;"")</formula>
    </cfRule>
  </conditionalFormatting>
  <conditionalFormatting sqref="D4403">
    <cfRule type="expression" dxfId="4" priority="9083">
      <formula>AND(NOT(HasFormula(#REF!)),#REF!&lt;&gt;"")</formula>
    </cfRule>
  </conditionalFormatting>
  <conditionalFormatting sqref="E4403">
    <cfRule type="expression" dxfId="4" priority="9084">
      <formula>AND(NOT(HasFormula(#REF!)),#REF!&lt;&gt;"")</formula>
    </cfRule>
  </conditionalFormatting>
  <conditionalFormatting sqref="I4403:L4403">
    <cfRule type="expression" dxfId="4" priority="9085">
      <formula>AND(NOT(HasFormula(#REF!)),#REF!&lt;&gt;"")</formula>
    </cfRule>
    <cfRule type="expression" dxfId="3" priority="9086">
      <formula>AND(NOT(HasFormula(A4403)),A4403&lt;&gt;"")</formula>
    </cfRule>
  </conditionalFormatting>
  <conditionalFormatting sqref="H4529">
    <cfRule type="expression" dxfId="3" priority="87">
      <formula>AND(NOT(HasFormula(XFD4529)),XFD4529&lt;&gt;"")</formula>
    </cfRule>
    <cfRule type="expression" dxfId="4" priority="86">
      <formula>AND(NOT(HasFormula(#REF!)),#REF!&lt;&gt;"")</formula>
    </cfRule>
  </conditionalFormatting>
  <conditionalFormatting sqref="D4635">
    <cfRule type="expression" dxfId="2" priority="75">
      <formula>AND(NOT(_xlfn.ISFORMULA(D4635)),D4635&lt;&gt;"")</formula>
    </cfRule>
    <cfRule type="expression" dxfId="4" priority="76">
      <formula>AND(NOT(HasFormula(#REF!)),#REF!&lt;&gt;"")</formula>
    </cfRule>
  </conditionalFormatting>
  <conditionalFormatting sqref="D4635:E4635">
    <cfRule type="expression" dxfId="3" priority="77">
      <formula>AND(NOT(HasFormula(XEZ4635)),XEZ4635&lt;&gt;"")</formula>
    </cfRule>
  </conditionalFormatting>
  <conditionalFormatting sqref="E4635">
    <cfRule type="expression" dxfId="4" priority="80">
      <formula>AND(NOT(HasFormula(#REF!)),#REF!&lt;&gt;"")</formula>
    </cfRule>
  </conditionalFormatting>
  <conditionalFormatting sqref="F4635">
    <cfRule type="containsText" dxfId="6" priority="78" operator="between" text="12m">
      <formula>NOT(ISERROR(SEARCH("12m",F4635)))</formula>
    </cfRule>
    <cfRule type="containsText" dxfId="5" priority="79" operator="between" text="HRB500E">
      <formula>NOT(ISERROR(SEARCH("HRB500E",F4635)))</formula>
    </cfRule>
  </conditionalFormatting>
  <conditionalFormatting sqref="I4635:L4635">
    <cfRule type="expression" dxfId="4" priority="82">
      <formula>AND(NOT(HasFormula(#REF!)),#REF!&lt;&gt;"")</formula>
    </cfRule>
    <cfRule type="expression" dxfId="3" priority="83">
      <formula>AND(NOT(HasFormula(A4635)),A4635&lt;&gt;"")</formula>
    </cfRule>
  </conditionalFormatting>
  <conditionalFormatting sqref="L4635:O4635">
    <cfRule type="containsText" dxfId="1" priority="81" operator="between" text="送货车型9.6米">
      <formula>NOT(ISERROR(SEARCH("送货车型9.6米",L4635)))</formula>
    </cfRule>
  </conditionalFormatting>
  <conditionalFormatting sqref="D4649">
    <cfRule type="expression" dxfId="4" priority="9120">
      <formula>AND(NOT(HasFormula(#REF!)),#REF!&lt;&gt;"")</formula>
    </cfRule>
  </conditionalFormatting>
  <conditionalFormatting sqref="E4649">
    <cfRule type="expression" dxfId="4" priority="9121">
      <formula>AND(NOT(HasFormula(#REF!)),#REF!&lt;&gt;"")</formula>
    </cfRule>
  </conditionalFormatting>
  <conditionalFormatting sqref="I4649:L4649">
    <cfRule type="expression" dxfId="4" priority="9122">
      <formula>AND(NOT(HasFormula(#REF!)),#REF!&lt;&gt;"")</formula>
    </cfRule>
    <cfRule type="expression" dxfId="3" priority="9123">
      <formula>AND(NOT(HasFormula(A4649)),A4649&lt;&gt;"")</formula>
    </cfRule>
  </conditionalFormatting>
  <conditionalFormatting sqref="H4658">
    <cfRule type="expression" dxfId="4" priority="9146">
      <formula>AND(NOT(HasFormula(D4660)),D4660&lt;&gt;"")</formula>
    </cfRule>
    <cfRule type="expression" dxfId="3" priority="9147">
      <formula>AND(NOT(HasFormula(XFD4658)),XFD4658&lt;&gt;"")</formula>
    </cfRule>
  </conditionalFormatting>
  <conditionalFormatting sqref="H4659">
    <cfRule type="expression" dxfId="3" priority="39">
      <formula>AND(NOT(HasFormula(XFD4659)),XFD4659&lt;&gt;"")</formula>
    </cfRule>
    <cfRule type="expression" dxfId="4" priority="38">
      <formula>AND(NOT(HasFormula(D4660)),D4660&lt;&gt;"")</formula>
    </cfRule>
  </conditionalFormatting>
  <conditionalFormatting sqref="D4662">
    <cfRule type="expression" dxfId="4" priority="9126">
      <formula>AND(NOT(HasFormula(#REF!)),#REF!&lt;&gt;"")</formula>
    </cfRule>
  </conditionalFormatting>
  <conditionalFormatting sqref="E4662">
    <cfRule type="expression" dxfId="4" priority="9127">
      <formula>AND(NOT(HasFormula(#REF!)),#REF!&lt;&gt;"")</formula>
    </cfRule>
  </conditionalFormatting>
  <conditionalFormatting sqref="H4662">
    <cfRule type="expression" dxfId="4" priority="9124">
      <formula>AND(NOT(HasFormula(#REF!)),#REF!&lt;&gt;"")</formula>
    </cfRule>
    <cfRule type="expression" dxfId="3" priority="9125">
      <formula>AND(NOT(HasFormula(XFD4662)),XFD4662&lt;&gt;"")</formula>
    </cfRule>
  </conditionalFormatting>
  <conditionalFormatting sqref="I4662:L4662">
    <cfRule type="expression" dxfId="4" priority="9128">
      <formula>AND(NOT(HasFormula(#REF!)),#REF!&lt;&gt;"")</formula>
    </cfRule>
    <cfRule type="expression" dxfId="3" priority="9129">
      <formula>AND(NOT(HasFormula(A4662)),A4662&lt;&gt;"")</formula>
    </cfRule>
  </conditionalFormatting>
  <conditionalFormatting sqref="D4691">
    <cfRule type="expression" dxfId="4" priority="9142">
      <formula>AND(NOT(HasFormula(#REF!)),#REF!&lt;&gt;"")</formula>
    </cfRule>
  </conditionalFormatting>
  <conditionalFormatting sqref="E4691">
    <cfRule type="expression" dxfId="4" priority="9143">
      <formula>AND(NOT(HasFormula(#REF!)),#REF!&lt;&gt;"")</formula>
    </cfRule>
  </conditionalFormatting>
  <conditionalFormatting sqref="H4691">
    <cfRule type="expression" dxfId="4" priority="9140">
      <formula>AND(NOT(HasFormula(#REF!)),#REF!&lt;&gt;"")</formula>
    </cfRule>
    <cfRule type="expression" dxfId="3" priority="9141">
      <formula>AND(NOT(HasFormula(XFD4691)),XFD4691&lt;&gt;"")</formula>
    </cfRule>
  </conditionalFormatting>
  <conditionalFormatting sqref="I4691:L4691">
    <cfRule type="expression" dxfId="4" priority="9144">
      <formula>AND(NOT(HasFormula(#REF!)),#REF!&lt;&gt;"")</formula>
    </cfRule>
    <cfRule type="expression" dxfId="3" priority="9145">
      <formula>AND(NOT(HasFormula(A4691)),A4691&lt;&gt;"")</formula>
    </cfRule>
  </conditionalFormatting>
  <conditionalFormatting sqref="K4744">
    <cfRule type="expression" dxfId="4" priority="9138">
      <formula>AND(NOT(HasFormula(G4745)),G4745&lt;&gt;"")</formula>
    </cfRule>
    <cfRule type="expression" dxfId="3" priority="9139">
      <formula>AND(NOT(HasFormula(C4748)),C4748&lt;&gt;"")</formula>
    </cfRule>
  </conditionalFormatting>
  <conditionalFormatting sqref="K4748">
    <cfRule type="expression" dxfId="4" priority="9136">
      <formula>AND(NOT(HasFormula(G4749)),G4749&lt;&gt;"")</formula>
    </cfRule>
    <cfRule type="expression" dxfId="3" priority="9137">
      <formula>AND(NOT(HasFormula(#REF!)),#REF!&lt;&gt;"")</formula>
    </cfRule>
  </conditionalFormatting>
  <conditionalFormatting sqref="C4785">
    <cfRule type="timePeriod" dxfId="7" priority="37" timePeriod="yesterday">
      <formula>FLOOR(C4785,1)=TODAY()-1</formula>
    </cfRule>
  </conditionalFormatting>
  <conditionalFormatting sqref="D4848">
    <cfRule type="expression" dxfId="4" priority="9154">
      <formula>AND(NOT(HasFormula(#REF!)),#REF!&lt;&gt;"")</formula>
    </cfRule>
  </conditionalFormatting>
  <conditionalFormatting sqref="E4848">
    <cfRule type="expression" dxfId="4" priority="9155">
      <formula>AND(NOT(HasFormula(#REF!)),#REF!&lt;&gt;"")</formula>
    </cfRule>
  </conditionalFormatting>
  <conditionalFormatting sqref="I4848:L4848">
    <cfRule type="expression" dxfId="4" priority="9156">
      <formula>AND(NOT(HasFormula(#REF!)),#REF!&lt;&gt;"")</formula>
    </cfRule>
    <cfRule type="expression" dxfId="3" priority="9157">
      <formula>AND(NOT(HasFormula(A4848)),A4848&lt;&gt;"")</formula>
    </cfRule>
  </conditionalFormatting>
  <conditionalFormatting sqref="C4867">
    <cfRule type="timePeriod" dxfId="7" priority="36" timePeriod="yesterday">
      <formula>FLOOR(C4867,1)=TODAY()-1</formula>
    </cfRule>
  </conditionalFormatting>
  <conditionalFormatting sqref="K4867">
    <cfRule type="expression" dxfId="4" priority="9160">
      <formula>AND(NOT(HasFormula(G4868)),G4868&lt;&gt;"")</formula>
    </cfRule>
    <cfRule type="expression" dxfId="3" priority="9161">
      <formula>AND(NOT(HasFormula(C4872)),C4872&lt;&gt;"")</formula>
    </cfRule>
  </conditionalFormatting>
  <conditionalFormatting sqref="K4872">
    <cfRule type="expression" dxfId="4" priority="9158">
      <formula>AND(NOT(HasFormula(G4873)),G4873&lt;&gt;"")</formula>
    </cfRule>
    <cfRule type="expression" dxfId="3" priority="9159">
      <formula>AND(NOT(HasFormula(#REF!)),#REF!&lt;&gt;"")</formula>
    </cfRule>
  </conditionalFormatting>
  <conditionalFormatting sqref="D4877">
    <cfRule type="expression" dxfId="4" priority="9164">
      <formula>AND(NOT(HasFormula(#REF!)),#REF!&lt;&gt;"")</formula>
    </cfRule>
  </conditionalFormatting>
  <conditionalFormatting sqref="E4877">
    <cfRule type="expression" dxfId="4" priority="9165">
      <formula>AND(NOT(HasFormula(#REF!)),#REF!&lt;&gt;"")</formula>
    </cfRule>
  </conditionalFormatting>
  <conditionalFormatting sqref="I4877:L4877">
    <cfRule type="expression" dxfId="4" priority="9166">
      <formula>AND(NOT(HasFormula(#REF!)),#REF!&lt;&gt;"")</formula>
    </cfRule>
    <cfRule type="expression" dxfId="3" priority="9167">
      <formula>AND(NOT(HasFormula(A4877)),A4877&lt;&gt;"")</formula>
    </cfRule>
  </conditionalFormatting>
  <conditionalFormatting sqref="C4878">
    <cfRule type="timePeriod" dxfId="7" priority="24" timePeriod="yesterday">
      <formula>FLOOR(C4878,1)=TODAY()-1</formula>
    </cfRule>
  </conditionalFormatting>
  <conditionalFormatting sqref="H4884">
    <cfRule type="expression" dxfId="4" priority="9168">
      <formula>AND(NOT(HasFormula(D4887)),D4887&lt;&gt;"")</formula>
    </cfRule>
    <cfRule type="expression" dxfId="3" priority="9169">
      <formula>AND(NOT(HasFormula(XFD4884)),XFD4884&lt;&gt;"")</formula>
    </cfRule>
  </conditionalFormatting>
  <conditionalFormatting sqref="K4907">
    <cfRule type="expression" dxfId="4" priority="34">
      <formula>AND(NOT(HasFormula(G4908)),G4908&lt;&gt;"")</formula>
    </cfRule>
    <cfRule type="expression" dxfId="3" priority="35">
      <formula>AND(NOT(HasFormula(C4912)),C4912&lt;&gt;"")</formula>
    </cfRule>
  </conditionalFormatting>
  <conditionalFormatting sqref="D4992">
    <cfRule type="expression" dxfId="4" priority="9202">
      <formula>AND(NOT(HasFormula(#REF!)),#REF!&lt;&gt;"")</formula>
    </cfRule>
  </conditionalFormatting>
  <conditionalFormatting sqref="E4992">
    <cfRule type="expression" dxfId="4" priority="9203">
      <formula>AND(NOT(HasFormula(#REF!)),#REF!&lt;&gt;"")</formula>
    </cfRule>
  </conditionalFormatting>
  <conditionalFormatting sqref="H4992">
    <cfRule type="expression" dxfId="4" priority="9200">
      <formula>AND(NOT(HasFormula(#REF!)),#REF!&lt;&gt;"")</formula>
    </cfRule>
    <cfRule type="expression" dxfId="3" priority="9201">
      <formula>AND(NOT(HasFormula(XFD4992)),XFD4992&lt;&gt;"")</formula>
    </cfRule>
  </conditionalFormatting>
  <conditionalFormatting sqref="I4992:L4992">
    <cfRule type="expression" dxfId="4" priority="9204">
      <formula>AND(NOT(HasFormula(#REF!)),#REF!&lt;&gt;"")</formula>
    </cfRule>
    <cfRule type="expression" dxfId="3" priority="9205">
      <formula>AND(NOT(HasFormula(A4992)),A4992&lt;&gt;"")</formula>
    </cfRule>
  </conditionalFormatting>
  <conditionalFormatting sqref="D5013">
    <cfRule type="expression" dxfId="4" priority="9184">
      <formula>AND(NOT(HasFormula(#REF!)),#REF!&lt;&gt;"")</formula>
    </cfRule>
  </conditionalFormatting>
  <conditionalFormatting sqref="E5013">
    <cfRule type="expression" dxfId="4" priority="9185">
      <formula>AND(NOT(HasFormula(#REF!)),#REF!&lt;&gt;"")</formula>
    </cfRule>
  </conditionalFormatting>
  <conditionalFormatting sqref="H5013">
    <cfRule type="expression" dxfId="4" priority="9182">
      <formula>AND(NOT(HasFormula(#REF!)),#REF!&lt;&gt;"")</formula>
    </cfRule>
    <cfRule type="expression" dxfId="3" priority="9183">
      <formula>AND(NOT(HasFormula(XFD5013)),XFD5013&lt;&gt;"")</formula>
    </cfRule>
  </conditionalFormatting>
  <conditionalFormatting sqref="I5013:L5013">
    <cfRule type="expression" dxfId="4" priority="9186">
      <formula>AND(NOT(HasFormula(#REF!)),#REF!&lt;&gt;"")</formula>
    </cfRule>
    <cfRule type="expression" dxfId="3" priority="9187">
      <formula>AND(NOT(HasFormula(A5013)),A5013&lt;&gt;"")</formula>
    </cfRule>
  </conditionalFormatting>
  <conditionalFormatting sqref="D5019">
    <cfRule type="expression" dxfId="4" priority="9214">
      <formula>AND(NOT(HasFormula(#REF!)),#REF!&lt;&gt;"")</formula>
    </cfRule>
  </conditionalFormatting>
  <conditionalFormatting sqref="E5019">
    <cfRule type="expression" dxfId="4" priority="9215">
      <formula>AND(NOT(HasFormula(#REF!)),#REF!&lt;&gt;"")</formula>
    </cfRule>
  </conditionalFormatting>
  <conditionalFormatting sqref="H5019">
    <cfRule type="expression" dxfId="4" priority="9212">
      <formula>AND(NOT(HasFormula(#REF!)),#REF!&lt;&gt;"")</formula>
    </cfRule>
    <cfRule type="expression" dxfId="3" priority="9213">
      <formula>AND(NOT(HasFormula(XFD5019)),XFD5019&lt;&gt;"")</formula>
    </cfRule>
  </conditionalFormatting>
  <conditionalFormatting sqref="I5019:L5019">
    <cfRule type="expression" dxfId="4" priority="9216">
      <formula>AND(NOT(HasFormula(#REF!)),#REF!&lt;&gt;"")</formula>
    </cfRule>
    <cfRule type="expression" dxfId="3" priority="9217">
      <formula>AND(NOT(HasFormula(A5019)),A5019&lt;&gt;"")</formula>
    </cfRule>
  </conditionalFormatting>
  <conditionalFormatting sqref="D5099">
    <cfRule type="expression" dxfId="4" priority="9226">
      <formula>AND(NOT(HasFormula(XFD5101)),XFD5101&lt;&gt;"")</formula>
    </cfRule>
  </conditionalFormatting>
  <conditionalFormatting sqref="E5099">
    <cfRule type="expression" dxfId="4" priority="9227">
      <formula>AND(NOT(HasFormula(A5101)),A5101&lt;&gt;"")</formula>
    </cfRule>
  </conditionalFormatting>
  <conditionalFormatting sqref="I5099:L5099">
    <cfRule type="expression" dxfId="4" priority="9228">
      <formula>AND(NOT(HasFormula(E5101)),E5101&lt;&gt;"")</formula>
    </cfRule>
    <cfRule type="expression" dxfId="3" priority="9229">
      <formula>AND(NOT(HasFormula(A5099)),A5099&lt;&gt;"")</formula>
    </cfRule>
  </conditionalFormatting>
  <conditionalFormatting sqref="D5103">
    <cfRule type="expression" dxfId="4" priority="9232">
      <formula>AND(NOT(HasFormula(#REF!)),#REF!&lt;&gt;"")</formula>
    </cfRule>
  </conditionalFormatting>
  <conditionalFormatting sqref="E5103">
    <cfRule type="expression" dxfId="4" priority="9233">
      <formula>AND(NOT(HasFormula(#REF!)),#REF!&lt;&gt;"")</formula>
    </cfRule>
  </conditionalFormatting>
  <conditionalFormatting sqref="I5103:L5103">
    <cfRule type="expression" dxfId="4" priority="9234">
      <formula>AND(NOT(HasFormula(#REF!)),#REF!&lt;&gt;"")</formula>
    </cfRule>
    <cfRule type="expression" dxfId="3" priority="9235">
      <formula>AND(NOT(HasFormula(A5103)),A5103&lt;&gt;"")</formula>
    </cfRule>
  </conditionalFormatting>
  <conditionalFormatting sqref="C1589:C1625">
    <cfRule type="timePeriod" dxfId="7" priority="930" timePeriod="yesterday">
      <formula>FLOOR(C1589,1)=TODAY()-1</formula>
    </cfRule>
  </conditionalFormatting>
  <conditionalFormatting sqref="C1962:C1966">
    <cfRule type="timePeriod" dxfId="7" priority="716" timePeriod="yesterday">
      <formula>FLOOR(C1962,1)=TODAY()-1</formula>
    </cfRule>
  </conditionalFormatting>
  <conditionalFormatting sqref="C2043:C2046">
    <cfRule type="timePeriod" dxfId="7" priority="703" timePeriod="yesterday">
      <formula>FLOOR(C2043,1)=TODAY()-1</formula>
    </cfRule>
  </conditionalFormatting>
  <conditionalFormatting sqref="C2053:C2057">
    <cfRule type="timePeriod" dxfId="7" priority="702" timePeriod="yesterday">
      <formula>FLOOR(C2053,1)=TODAY()-1</formula>
    </cfRule>
  </conditionalFormatting>
  <conditionalFormatting sqref="C2058:C2086">
    <cfRule type="timePeriod" dxfId="7" priority="701" timePeriod="yesterday">
      <formula>FLOOR(C2058,1)=TODAY()-1</formula>
    </cfRule>
  </conditionalFormatting>
  <conditionalFormatting sqref="C2220:C2245">
    <cfRule type="timePeriod" dxfId="7" priority="616" timePeriod="yesterday">
      <formula>FLOOR(C2220,1)=TODAY()-1</formula>
    </cfRule>
  </conditionalFormatting>
  <conditionalFormatting sqref="C2246:C2250">
    <cfRule type="timePeriod" dxfId="7" priority="595" timePeriod="yesterday">
      <formula>FLOOR(C2246,1)=TODAY()-1</formula>
    </cfRule>
  </conditionalFormatting>
  <conditionalFormatting sqref="C2265:C2277">
    <cfRule type="timePeriod" dxfId="7" priority="598" timePeriod="yesterday">
      <formula>FLOOR(C2265,1)=TODAY()-1</formula>
    </cfRule>
  </conditionalFormatting>
  <conditionalFormatting sqref="C2306:C2337">
    <cfRule type="timePeriod" dxfId="7" priority="579" timePeriod="yesterday">
      <formula>FLOOR(C2306,1)=TODAY()-1</formula>
    </cfRule>
  </conditionalFormatting>
  <conditionalFormatting sqref="C2338:C2342">
    <cfRule type="timePeriod" dxfId="7" priority="564" timePeriod="yesterday">
      <formula>FLOOR(C2338,1)=TODAY()-1</formula>
    </cfRule>
  </conditionalFormatting>
  <conditionalFormatting sqref="C2343:C2348">
    <cfRule type="timePeriod" dxfId="7" priority="562" timePeriod="yesterday">
      <formula>FLOOR(C2343,1)=TODAY()-1</formula>
    </cfRule>
  </conditionalFormatting>
  <conditionalFormatting sqref="C2349:C2358">
    <cfRule type="timePeriod" dxfId="7" priority="549" timePeriod="yesterday">
      <formula>FLOOR(C2349,1)=TODAY()-1</formula>
    </cfRule>
  </conditionalFormatting>
  <conditionalFormatting sqref="C2359:C2428">
    <cfRule type="timePeriod" dxfId="7" priority="536" timePeriod="yesterday">
      <formula>FLOOR(C2359,1)=TODAY()-1</formula>
    </cfRule>
  </conditionalFormatting>
  <conditionalFormatting sqref="C2576:C2581">
    <cfRule type="timePeriod" dxfId="7" priority="518" timePeriod="yesterday">
      <formula>FLOOR(C2576,1)=TODAY()-1</formula>
    </cfRule>
  </conditionalFormatting>
  <conditionalFormatting sqref="C2706:C2723">
    <cfRule type="timePeriod" dxfId="7" priority="489" timePeriod="yesterday">
      <formula>FLOOR(C2706,1)=TODAY()-1</formula>
    </cfRule>
  </conditionalFormatting>
  <conditionalFormatting sqref="C2724:C2742">
    <cfRule type="timePeriod" dxfId="7" priority="488" timePeriod="yesterday">
      <formula>FLOOR(C2724,1)=TODAY()-1</formula>
    </cfRule>
  </conditionalFormatting>
  <conditionalFormatting sqref="C2743:C2757">
    <cfRule type="timePeriod" dxfId="7" priority="487" timePeriod="yesterday">
      <formula>FLOOR(C2743,1)=TODAY()-1</formula>
    </cfRule>
  </conditionalFormatting>
  <conditionalFormatting sqref="C2758:C2768">
    <cfRule type="timePeriod" dxfId="7" priority="475" timePeriod="yesterday">
      <formula>FLOOR(C2758,1)=TODAY()-1</formula>
    </cfRule>
  </conditionalFormatting>
  <conditionalFormatting sqref="C2769:C2802">
    <cfRule type="timePeriod" dxfId="7" priority="470" timePeriod="yesterday">
      <formula>FLOOR(C2769,1)=TODAY()-1</formula>
    </cfRule>
  </conditionalFormatting>
  <conditionalFormatting sqref="C2803:C2833">
    <cfRule type="timePeriod" dxfId="7" priority="464" timePeriod="yesterday">
      <formula>FLOOR(C2803,1)=TODAY()-1</formula>
    </cfRule>
  </conditionalFormatting>
  <conditionalFormatting sqref="C2834:C2842">
    <cfRule type="timePeriod" dxfId="7" priority="467" timePeriod="yesterday">
      <formula>FLOOR(C2834,1)=TODAY()-1</formula>
    </cfRule>
  </conditionalFormatting>
  <conditionalFormatting sqref="C2949:C2957">
    <cfRule type="timePeriod" dxfId="7" priority="452" timePeriod="yesterday">
      <formula>FLOOR(C2949,1)=TODAY()-1</formula>
    </cfRule>
  </conditionalFormatting>
  <conditionalFormatting sqref="C2958:C2960">
    <cfRule type="timePeriod" dxfId="7" priority="438" timePeriod="yesterday">
      <formula>FLOOR(C2958,1)=TODAY()-1</formula>
    </cfRule>
  </conditionalFormatting>
  <conditionalFormatting sqref="C2961:C2973">
    <cfRule type="timePeriod" dxfId="7" priority="433" timePeriod="yesterday">
      <formula>FLOOR(C2961,1)=TODAY()-1</formula>
    </cfRule>
  </conditionalFormatting>
  <conditionalFormatting sqref="C2974:C2995">
    <cfRule type="timePeriod" dxfId="7" priority="432" timePeriod="yesterday">
      <formula>FLOOR(C2974,1)=TODAY()-1</formula>
    </cfRule>
  </conditionalFormatting>
  <conditionalFormatting sqref="C2997:C3002">
    <cfRule type="timePeriod" dxfId="7" priority="415" timePeriod="yesterday">
      <formula>FLOOR(C2997,1)=TODAY()-1</formula>
    </cfRule>
  </conditionalFormatting>
  <conditionalFormatting sqref="C3003:C3010">
    <cfRule type="timePeriod" dxfId="7" priority="414" timePeriod="yesterday">
      <formula>FLOOR(C3003,1)=TODAY()-1</formula>
    </cfRule>
  </conditionalFormatting>
  <conditionalFormatting sqref="C3011:C3025">
    <cfRule type="timePeriod" dxfId="7" priority="411" timePeriod="yesterday">
      <formula>FLOOR(C3011,1)=TODAY()-1</formula>
    </cfRule>
  </conditionalFormatting>
  <conditionalFormatting sqref="C3026:C3028">
    <cfRule type="timePeriod" dxfId="7" priority="375" timePeriod="yesterday">
      <formula>FLOOR(C3026,1)=TODAY()-1</formula>
    </cfRule>
  </conditionalFormatting>
  <conditionalFormatting sqref="C3029:C3038">
    <cfRule type="timePeriod" dxfId="7" priority="362" timePeriod="yesterday">
      <formula>FLOOR(C3029,1)=TODAY()-1</formula>
    </cfRule>
  </conditionalFormatting>
  <conditionalFormatting sqref="C3039:C3042">
    <cfRule type="timePeriod" dxfId="7" priority="371" timePeriod="yesterday">
      <formula>FLOOR(C3039,1)=TODAY()-1</formula>
    </cfRule>
  </conditionalFormatting>
  <conditionalFormatting sqref="C3043:C3058">
    <cfRule type="timePeriod" dxfId="7" priority="298" timePeriod="yesterday">
      <formula>FLOOR(C3043,1)=TODAY()-1</formula>
    </cfRule>
  </conditionalFormatting>
  <conditionalFormatting sqref="C3059:C3063">
    <cfRule type="timePeriod" dxfId="7" priority="297" timePeriod="yesterday">
      <formula>FLOOR(C3059,1)=TODAY()-1</formula>
    </cfRule>
  </conditionalFormatting>
  <conditionalFormatting sqref="C3064:C3073">
    <cfRule type="timePeriod" dxfId="7" priority="296" timePeriod="yesterday">
      <formula>FLOOR(C3064,1)=TODAY()-1</formula>
    </cfRule>
  </conditionalFormatting>
  <conditionalFormatting sqref="C3074:C3089">
    <cfRule type="timePeriod" dxfId="7" priority="282" timePeriod="yesterday">
      <formula>FLOOR(C3074,1)=TODAY()-1</formula>
    </cfRule>
  </conditionalFormatting>
  <conditionalFormatting sqref="C3090:C3096">
    <cfRule type="timePeriod" dxfId="7" priority="278" timePeriod="yesterday">
      <formula>FLOOR(C3090,1)=TODAY()-1</formula>
    </cfRule>
  </conditionalFormatting>
  <conditionalFormatting sqref="C3097:C3102">
    <cfRule type="timePeriod" dxfId="7" priority="273" timePeriod="yesterday">
      <formula>FLOOR(C3097,1)=TODAY()-1</formula>
    </cfRule>
  </conditionalFormatting>
  <conditionalFormatting sqref="C3184:C3261">
    <cfRule type="timePeriod" dxfId="7" priority="236" timePeriod="yesterday">
      <formula>FLOOR(C3184,1)=TODAY()-1</formula>
    </cfRule>
  </conditionalFormatting>
  <conditionalFormatting sqref="C4067:C4068">
    <cfRule type="timePeriod" dxfId="7" priority="148" timePeriod="yesterday">
      <formula>FLOOR(C4067,1)=TODAY()-1</formula>
    </cfRule>
  </conditionalFormatting>
  <conditionalFormatting sqref="C4139:C4150">
    <cfRule type="timePeriod" dxfId="7" priority="133" timePeriod="yesterday">
      <formula>FLOOR(C4139,1)=TODAY()-1</formula>
    </cfRule>
  </conditionalFormatting>
  <conditionalFormatting sqref="C4151:C4155">
    <cfRule type="timePeriod" dxfId="7" priority="132" timePeriod="yesterday">
      <formula>FLOOR(C4151,1)=TODAY()-1</formula>
    </cfRule>
  </conditionalFormatting>
  <conditionalFormatting sqref="C4156:C4161">
    <cfRule type="timePeriod" dxfId="7" priority="129" timePeriod="yesterday">
      <formula>FLOOR(C4156,1)=TODAY()-1</formula>
    </cfRule>
  </conditionalFormatting>
  <conditionalFormatting sqref="C4162:C4168">
    <cfRule type="timePeriod" dxfId="7" priority="123" timePeriod="yesterday">
      <formula>FLOOR(C4162,1)=TODAY()-1</formula>
    </cfRule>
  </conditionalFormatting>
  <conditionalFormatting sqref="C4169:C4184">
    <cfRule type="timePeriod" dxfId="7" priority="122" timePeriod="yesterday">
      <formula>FLOOR(C4169,1)=TODAY()-1</formula>
    </cfRule>
  </conditionalFormatting>
  <conditionalFormatting sqref="C4185:C4219">
    <cfRule type="timePeriod" dxfId="7" priority="121" timePeriod="yesterday">
      <formula>FLOOR(C4185,1)=TODAY()-1</formula>
    </cfRule>
  </conditionalFormatting>
  <conditionalFormatting sqref="C4220:C4224">
    <cfRule type="timePeriod" dxfId="7" priority="113" timePeriod="yesterday">
      <formula>FLOOR(C4220,1)=TODAY()-1</formula>
    </cfRule>
  </conditionalFormatting>
  <conditionalFormatting sqref="C4225:C4227">
    <cfRule type="timePeriod" dxfId="7" priority="110" timePeriod="yesterday">
      <formula>FLOOR(C4225,1)=TODAY()-1</formula>
    </cfRule>
  </conditionalFormatting>
  <conditionalFormatting sqref="C4228:C4233">
    <cfRule type="timePeriod" dxfId="7" priority="107" timePeriod="yesterday">
      <formula>FLOOR(C4228,1)=TODAY()-1</formula>
    </cfRule>
  </conditionalFormatting>
  <conditionalFormatting sqref="C4234:C4238">
    <cfRule type="timePeriod" dxfId="7" priority="106" timePeriod="yesterday">
      <formula>FLOOR(C4234,1)=TODAY()-1</formula>
    </cfRule>
  </conditionalFormatting>
  <conditionalFormatting sqref="C4239:C4242">
    <cfRule type="timePeriod" dxfId="7" priority="105" timePeriod="yesterday">
      <formula>FLOOR(C4239,1)=TODAY()-1</formula>
    </cfRule>
  </conditionalFormatting>
  <conditionalFormatting sqref="C4243:C4245">
    <cfRule type="timePeriod" dxfId="7" priority="104" timePeriod="yesterday">
      <formula>FLOOR(C4243,1)=TODAY()-1</formula>
    </cfRule>
  </conditionalFormatting>
  <conditionalFormatting sqref="C4744:C4748">
    <cfRule type="timePeriod" dxfId="7" priority="44" timePeriod="yesterday">
      <formula>FLOOR(C4744,1)=TODAY()-1</formula>
    </cfRule>
  </conditionalFormatting>
  <conditionalFormatting sqref="C4749:C4753">
    <cfRule type="timePeriod" dxfId="7" priority="43" timePeriod="yesterday">
      <formula>FLOOR(C4749,1)=TODAY()-1</formula>
    </cfRule>
  </conditionalFormatting>
  <conditionalFormatting sqref="C4754:C4766">
    <cfRule type="timePeriod" dxfId="7" priority="42" timePeriod="yesterday">
      <formula>FLOOR(C4754,1)=TODAY()-1</formula>
    </cfRule>
  </conditionalFormatting>
  <conditionalFormatting sqref="C4767:C4774">
    <cfRule type="timePeriod" dxfId="7" priority="41" timePeriod="yesterday">
      <formula>FLOOR(C4767,1)=TODAY()-1</formula>
    </cfRule>
  </conditionalFormatting>
  <conditionalFormatting sqref="C4775:C4784">
    <cfRule type="timePeriod" dxfId="7" priority="40" timePeriod="yesterday">
      <formula>FLOOR(C4775,1)=TODAY()-1</formula>
    </cfRule>
  </conditionalFormatting>
  <conditionalFormatting sqref="C4879:C4916">
    <cfRule type="timePeriod" dxfId="7" priority="20" timePeriod="yesterday">
      <formula>FLOOR(C4879,1)=TODAY()-1</formula>
    </cfRule>
  </conditionalFormatting>
  <conditionalFormatting sqref="C4917:C4966">
    <cfRule type="containsText" dxfId="1" priority="11" operator="between" text="送货车型9.6米">
      <formula>NOT(ISERROR(SEARCH("送货车型9.6米",C4917)))</formula>
    </cfRule>
  </conditionalFormatting>
  <conditionalFormatting sqref="C4967:C4981">
    <cfRule type="containsText" dxfId="1" priority="10" operator="between" text="送货车型9.6米">
      <formula>NOT(ISERROR(SEARCH("送货车型9.6米",C4967)))</formula>
    </cfRule>
  </conditionalFormatting>
  <conditionalFormatting sqref="C4982:C4992">
    <cfRule type="containsText" dxfId="1" priority="9" operator="between" text="送货车型9.6米">
      <formula>NOT(ISERROR(SEARCH("送货车型9.6米",C4982)))</formula>
    </cfRule>
  </conditionalFormatting>
  <conditionalFormatting sqref="C5087:C5092">
    <cfRule type="timePeriod" dxfId="7" priority="2" timePeriod="yesterday">
      <formula>FLOOR(C5087,1)=TODAY()-1</formula>
    </cfRule>
  </conditionalFormatting>
  <conditionalFormatting sqref="D1401:D1402">
    <cfRule type="expression" dxfId="3" priority="7718">
      <formula>AND(NOT(HasFormula(XEZ1401)),XEZ1401&lt;&gt;"")</formula>
    </cfRule>
    <cfRule type="expression" dxfId="4" priority="7717">
      <formula>AND(NOT(HasFormula(#REF!)),#REF!&lt;&gt;"")</formula>
    </cfRule>
  </conditionalFormatting>
  <conditionalFormatting sqref="D1589:D1597">
    <cfRule type="expression" dxfId="2" priority="929">
      <formula>AND(NOT(_xlfn.ISFORMULA(D1589)),D1589&lt;&gt;"")</formula>
    </cfRule>
    <cfRule type="expression" dxfId="4" priority="931">
      <formula>AND(NOT(HasFormula(XFD1590)),XFD1590&lt;&gt;"")</formula>
    </cfRule>
  </conditionalFormatting>
  <conditionalFormatting sqref="D1598:D1604">
    <cfRule type="expression" dxfId="2" priority="7779">
      <formula>AND(NOT(_xlfn.ISFORMULA(D1598)),D1598&lt;&gt;"")</formula>
    </cfRule>
    <cfRule type="expression" dxfId="4" priority="7780">
      <formula>AND(NOT(HasFormula(#REF!)),#REF!&lt;&gt;"")</formula>
    </cfRule>
  </conditionalFormatting>
  <conditionalFormatting sqref="D1702:D1706">
    <cfRule type="expression" dxfId="4" priority="7802">
      <formula>AND(NOT(HasFormula(#REF!)),#REF!&lt;&gt;"")</formula>
    </cfRule>
  </conditionalFormatting>
  <conditionalFormatting sqref="D1708:D1740">
    <cfRule type="expression" dxfId="4" priority="7808">
      <formula>AND(NOT(HasFormula(#REF!)),#REF!&lt;&gt;"")</formula>
    </cfRule>
  </conditionalFormatting>
  <conditionalFormatting sqref="D1762:D1769">
    <cfRule type="expression" dxfId="4" priority="7814">
      <formula>AND(NOT(HasFormula(#REF!)),#REF!&lt;&gt;"")</formula>
    </cfRule>
  </conditionalFormatting>
  <conditionalFormatting sqref="D1881:D1882">
    <cfRule type="expression" dxfId="4" priority="829">
      <formula>AND(NOT(HasFormula(XFD1882)),XFD1882&lt;&gt;"")</formula>
    </cfRule>
    <cfRule type="expression" dxfId="2" priority="827">
      <formula>AND(NOT(_xlfn.ISFORMULA(D1881)),D1881&lt;&gt;"")</formula>
    </cfRule>
  </conditionalFormatting>
  <conditionalFormatting sqref="D1907:D1918">
    <cfRule type="expression" dxfId="4" priority="7838">
      <formula>AND(NOT(HasFormula(#REF!)),#REF!&lt;&gt;"")</formula>
    </cfRule>
  </conditionalFormatting>
  <conditionalFormatting sqref="D1919:D1924">
    <cfRule type="expression" dxfId="4" priority="787">
      <formula>AND(NOT(HasFormula(XFD1920)),XFD1920&lt;&gt;"")</formula>
    </cfRule>
  </conditionalFormatting>
  <conditionalFormatting sqref="D2053:D2054">
    <cfRule type="expression" dxfId="4" priority="7856">
      <formula>AND(NOT(HasFormula(#REF!)),#REF!&lt;&gt;"")</formula>
    </cfRule>
  </conditionalFormatting>
  <conditionalFormatting sqref="D2056:D2057">
    <cfRule type="expression" dxfId="4" priority="7862">
      <formula>AND(NOT(HasFormula(#REF!)),#REF!&lt;&gt;"")</formula>
    </cfRule>
  </conditionalFormatting>
  <conditionalFormatting sqref="D2058:D2086">
    <cfRule type="expression" dxfId="2" priority="706">
      <formula>AND(NOT(_xlfn.ISFORMULA(D2058)),D2058&lt;&gt;"")</formula>
    </cfRule>
    <cfRule type="expression" dxfId="4" priority="708">
      <formula>AND(NOT(HasFormula(XFD2059)),XFD2059&lt;&gt;"")</formula>
    </cfRule>
  </conditionalFormatting>
  <conditionalFormatting sqref="D2090:D2108">
    <cfRule type="expression" dxfId="4" priority="7879">
      <formula>AND(NOT(HasFormula(#REF!)),#REF!&lt;&gt;"")</formula>
    </cfRule>
  </conditionalFormatting>
  <conditionalFormatting sqref="D2110:D2111">
    <cfRule type="expression" dxfId="4" priority="7885">
      <formula>AND(NOT(HasFormula(XFD2119)),XFD2119&lt;&gt;"")</formula>
    </cfRule>
  </conditionalFormatting>
  <conditionalFormatting sqref="D2112:D2118">
    <cfRule type="expression" dxfId="4" priority="7889">
      <formula>AND(NOT(HasFormula(XFD2129)),XFD2129&lt;&gt;"")</formula>
    </cfRule>
  </conditionalFormatting>
  <conditionalFormatting sqref="D2120:D2126">
    <cfRule type="expression" dxfId="4" priority="7901">
      <formula>AND(NOT(HasFormula(XFD2129)),XFD2129&lt;&gt;"")</formula>
    </cfRule>
  </conditionalFormatting>
  <conditionalFormatting sqref="D2127:D2128">
    <cfRule type="expression" dxfId="4" priority="7907">
      <formula>AND(NOT(HasFormula(#REF!)),#REF!&lt;&gt;"")</formula>
    </cfRule>
  </conditionalFormatting>
  <conditionalFormatting sqref="D2138:D2139">
    <cfRule type="expression" dxfId="4" priority="7921">
      <formula>AND(NOT(HasFormula(#REF!)),#REF!&lt;&gt;"")</formula>
    </cfRule>
  </conditionalFormatting>
  <conditionalFormatting sqref="D2165:D2166">
    <cfRule type="expression" dxfId="4" priority="7927">
      <formula>AND(NOT(HasFormula(#REF!)),#REF!&lt;&gt;"")</formula>
    </cfRule>
  </conditionalFormatting>
  <conditionalFormatting sqref="D2168:D2170">
    <cfRule type="expression" dxfId="4" priority="7962">
      <formula>AND(NOT(HasFormula(#REF!)),#REF!&lt;&gt;"")</formula>
    </cfRule>
  </conditionalFormatting>
  <conditionalFormatting sqref="D2225:D2226">
    <cfRule type="expression" dxfId="4" priority="8045">
      <formula>AND(NOT(HasFormula(XFD2227)),XFD2227&lt;&gt;"")</formula>
    </cfRule>
  </conditionalFormatting>
  <conditionalFormatting sqref="D2234:D2237">
    <cfRule type="expression" dxfId="2" priority="621">
      <formula>AND(NOT(_xlfn.ISFORMULA(D2234)),D2234&lt;&gt;"")</formula>
    </cfRule>
    <cfRule type="expression" dxfId="4" priority="623">
      <formula>AND(NOT(HasFormula(XFD2235)),XFD2235&lt;&gt;"")</formula>
    </cfRule>
  </conditionalFormatting>
  <conditionalFormatting sqref="D2247:D2249">
    <cfRule type="expression" dxfId="4" priority="8057">
      <formula>AND(NOT(HasFormula(XFD2252)),XFD2252&lt;&gt;"")</formula>
    </cfRule>
  </conditionalFormatting>
  <conditionalFormatting sqref="D2270:D2277">
    <cfRule type="expression" dxfId="2" priority="605">
      <formula>AND(NOT(_xlfn.ISFORMULA(D2270)),D2270&lt;&gt;"")</formula>
    </cfRule>
    <cfRule type="expression" dxfId="4" priority="606">
      <formula>AND(NOT(HasFormula(XFD2271)),XFD2271&lt;&gt;"")</formula>
    </cfRule>
  </conditionalFormatting>
  <conditionalFormatting sqref="D2529:D2532">
    <cfRule type="expression" dxfId="4" priority="8167">
      <formula>AND(NOT(HasFormula(XFD2533)),XFD2533&lt;&gt;"")</formula>
    </cfRule>
  </conditionalFormatting>
  <conditionalFormatting sqref="D2537:D2548">
    <cfRule type="expression" dxfId="4" priority="528">
      <formula>AND(NOT(HasFormula(XFD2538)),XFD2538&lt;&gt;"")</formula>
    </cfRule>
  </conditionalFormatting>
  <conditionalFormatting sqref="D2602:D2603">
    <cfRule type="expression" dxfId="4" priority="8189">
      <formula>AND(NOT(HasFormula(XFD2605)),XFD2605&lt;&gt;"")</formula>
    </cfRule>
  </conditionalFormatting>
  <conditionalFormatting sqref="D2725:D2726">
    <cfRule type="expression" dxfId="4" priority="8258">
      <formula>AND(NOT(HasFormula(XFD2727)),XFD2727&lt;&gt;"")</formula>
    </cfRule>
  </conditionalFormatting>
  <conditionalFormatting sqref="D2758:D2761">
    <cfRule type="expression" dxfId="4" priority="478">
      <formula>AND(NOT(HasFormula(XFD2759)),XFD2759&lt;&gt;"")</formula>
    </cfRule>
    <cfRule type="expression" dxfId="2" priority="477">
      <formula>AND(NOT(_xlfn.ISFORMULA(D2758)),D2758&lt;&gt;"")</formula>
    </cfRule>
  </conditionalFormatting>
  <conditionalFormatting sqref="D2768:D2769">
    <cfRule type="expression" dxfId="4" priority="8288">
      <formula>AND(NOT(HasFormula(XFD2770)),XFD2770&lt;&gt;"")</formula>
    </cfRule>
  </conditionalFormatting>
  <conditionalFormatting sqref="D2771:D2772">
    <cfRule type="expression" dxfId="4" priority="8266">
      <formula>AND(NOT(HasFormula(#REF!)),#REF!&lt;&gt;"")</formula>
    </cfRule>
  </conditionalFormatting>
  <conditionalFormatting sqref="D2796:D2797">
    <cfRule type="expression" dxfId="4" priority="8282">
      <formula>AND(NOT(HasFormula(XFD2798)),XFD2798&lt;&gt;"")</formula>
    </cfRule>
  </conditionalFormatting>
  <conditionalFormatting sqref="D2906:D2907">
    <cfRule type="expression" dxfId="4" priority="8374">
      <formula>AND(NOT(HasFormula(XFD2908)),XFD2908&lt;&gt;"")</formula>
    </cfRule>
  </conditionalFormatting>
  <conditionalFormatting sqref="D2924:D2925">
    <cfRule type="expression" dxfId="4" priority="8368">
      <formula>AND(NOT(HasFormula(XFD2926)),XFD2926&lt;&gt;"")</formula>
    </cfRule>
  </conditionalFormatting>
  <conditionalFormatting sqref="D2949:D2953">
    <cfRule type="expression" dxfId="2" priority="451">
      <formula>AND(NOT(_xlfn.ISFORMULA(D2949)),D2949&lt;&gt;"")</formula>
    </cfRule>
    <cfRule type="expression" dxfId="4" priority="453">
      <formula>AND(NOT(HasFormula(XFD2950)),XFD2950&lt;&gt;"")</formula>
    </cfRule>
  </conditionalFormatting>
  <conditionalFormatting sqref="D2958:D2960">
    <cfRule type="expression" dxfId="2" priority="437">
      <formula>AND(NOT(_xlfn.ISFORMULA(D2958)),D2958&lt;&gt;"")</formula>
    </cfRule>
    <cfRule type="expression" dxfId="4" priority="439">
      <formula>AND(NOT(HasFormula(XFD2959)),XFD2959&lt;&gt;"")</formula>
    </cfRule>
  </conditionalFormatting>
  <conditionalFormatting sqref="D2966:D2967">
    <cfRule type="expression" dxfId="4" priority="8428">
      <formula>AND(NOT(HasFormula(XFD2968)),XFD2968&lt;&gt;"")</formula>
    </cfRule>
  </conditionalFormatting>
  <conditionalFormatting sqref="D2974:D2975">
    <cfRule type="expression" dxfId="4" priority="8432">
      <formula>AND(NOT(HasFormula(XFD2976)),XFD2976&lt;&gt;"")</formula>
    </cfRule>
  </conditionalFormatting>
  <conditionalFormatting sqref="D2996:D3002">
    <cfRule type="expression" dxfId="2" priority="420">
      <formula>AND(NOT(_xlfn.ISFORMULA(D2996)),D2996&lt;&gt;"")</formula>
    </cfRule>
  </conditionalFormatting>
  <conditionalFormatting sqref="D3026:D3028">
    <cfRule type="expression" dxfId="2" priority="395">
      <formula>AND(NOT(_xlfn.ISFORMULA(D3026)),D3026&lt;&gt;"")</formula>
    </cfRule>
  </conditionalFormatting>
  <conditionalFormatting sqref="D3026:D3027">
    <cfRule type="expression" dxfId="4" priority="396">
      <formula>AND(NOT(HasFormula(XFD3027)),XFD3027&lt;&gt;"")</formula>
    </cfRule>
  </conditionalFormatting>
  <conditionalFormatting sqref="D3043:D3048">
    <cfRule type="expression" dxfId="2" priority="318">
      <formula>AND(NOT(_xlfn.ISFORMULA(D3043)),D3043&lt;&gt;"")</formula>
    </cfRule>
  </conditionalFormatting>
  <conditionalFormatting sqref="D3049:D3051">
    <cfRule type="expression" dxfId="2" priority="331">
      <formula>AND(NOT(_xlfn.ISFORMULA(D3049)),D3049&lt;&gt;"")</formula>
    </cfRule>
  </conditionalFormatting>
  <conditionalFormatting sqref="D3057:D3058">
    <cfRule type="expression" dxfId="2" priority="8489">
      <formula>AND(NOT(_xlfn.ISFORMULA(D3057)),D3057&lt;&gt;"")</formula>
    </cfRule>
    <cfRule type="expression" dxfId="4" priority="8490">
      <formula>AND(NOT(HasFormula(XFD3059)),XFD3059&lt;&gt;"")</formula>
    </cfRule>
  </conditionalFormatting>
  <conditionalFormatting sqref="D3075:D3077">
    <cfRule type="expression" dxfId="2" priority="287">
      <formula>AND(NOT(_xlfn.ISFORMULA(D3075)),D3075&lt;&gt;"")</formula>
    </cfRule>
    <cfRule type="expression" dxfId="4" priority="288">
      <formula>AND(NOT(HasFormula(XFD3076)),XFD3076&lt;&gt;"")</formula>
    </cfRule>
  </conditionalFormatting>
  <conditionalFormatting sqref="D3078:D3087">
    <cfRule type="expression" dxfId="2" priority="8485">
      <formula>AND(NOT(_xlfn.ISFORMULA(D3078)),D3078&lt;&gt;"")</formula>
    </cfRule>
    <cfRule type="expression" dxfId="4" priority="8486">
      <formula>AND(NOT(HasFormula(XFD3089)),XFD3089&lt;&gt;"")</formula>
    </cfRule>
  </conditionalFormatting>
  <conditionalFormatting sqref="D3141:D3142">
    <cfRule type="expression" dxfId="4" priority="8533">
      <formula>AND(NOT(HasFormula(XFD3143)),XFD3143&lt;&gt;"")</formula>
    </cfRule>
  </conditionalFormatting>
  <conditionalFormatting sqref="D3184:D3227">
    <cfRule type="expression" dxfId="2" priority="238">
      <formula>AND(NOT(_xlfn.ISFORMULA(D3184)),D3184&lt;&gt;"")</formula>
    </cfRule>
  </conditionalFormatting>
  <conditionalFormatting sqref="D3212:D3213">
    <cfRule type="expression" dxfId="4" priority="8573">
      <formula>AND(NOT(HasFormula(XFD3214)),XFD3214&lt;&gt;"")</formula>
    </cfRule>
  </conditionalFormatting>
  <conditionalFormatting sqref="D3284:D3285">
    <cfRule type="expression" dxfId="4" priority="8581">
      <formula>AND(NOT(HasFormula(#REF!)),#REF!&lt;&gt;"")</formula>
    </cfRule>
  </conditionalFormatting>
  <conditionalFormatting sqref="D3322:D3323">
    <cfRule type="expression" dxfId="4" priority="8587">
      <formula>AND(NOT(HasFormula(XFD3324)),XFD3324&lt;&gt;"")</formula>
    </cfRule>
  </conditionalFormatting>
  <conditionalFormatting sqref="D3330:D3331">
    <cfRule type="expression" dxfId="4" priority="8613">
      <formula>AND(NOT(HasFormula(XFD3332)),XFD3332&lt;&gt;"")</formula>
    </cfRule>
  </conditionalFormatting>
  <conditionalFormatting sqref="D3540:D3541">
    <cfRule type="expression" dxfId="4" priority="8777">
      <formula>AND(NOT(HasFormula(XFD3542)),XFD3542&lt;&gt;"")</formula>
    </cfRule>
  </conditionalFormatting>
  <conditionalFormatting sqref="D3569:D3570">
    <cfRule type="expression" dxfId="4" priority="8787">
      <formula>AND(NOT(HasFormula(XFD3572)),XFD3572&lt;&gt;"")</formula>
    </cfRule>
  </conditionalFormatting>
  <conditionalFormatting sqref="D3604:D3605">
    <cfRule type="expression" dxfId="4" priority="8811">
      <formula>AND(NOT(HasFormula(XFD3606)),XFD3606&lt;&gt;"")</formula>
    </cfRule>
  </conditionalFormatting>
  <conditionalFormatting sqref="D3609:D3610">
    <cfRule type="expression" dxfId="4" priority="8831">
      <formula>AND(NOT(HasFormula(XFD3611)),XFD3611&lt;&gt;"")</formula>
    </cfRule>
  </conditionalFormatting>
  <conditionalFormatting sqref="D3617:D3618">
    <cfRule type="expression" dxfId="4" priority="8839">
      <formula>AND(NOT(HasFormula(XFD3619)),XFD3619&lt;&gt;"")</formula>
    </cfRule>
  </conditionalFormatting>
  <conditionalFormatting sqref="D3627:D3628">
    <cfRule type="expression" dxfId="4" priority="8851">
      <formula>AND(NOT(HasFormula(XFD3629)),XFD3629&lt;&gt;"")</formula>
    </cfRule>
  </conditionalFormatting>
  <conditionalFormatting sqref="D3630:D3633">
    <cfRule type="expression" dxfId="4" priority="8857">
      <formula>AND(NOT(HasFormula(XFD3634)),XFD3634&lt;&gt;"")</formula>
    </cfRule>
  </conditionalFormatting>
  <conditionalFormatting sqref="D3673:D3674">
    <cfRule type="expression" dxfId="4" priority="8867">
      <formula>AND(NOT(HasFormula(XFD3679)),XFD3679&lt;&gt;"")</formula>
    </cfRule>
  </conditionalFormatting>
  <conditionalFormatting sqref="D3675:D3678">
    <cfRule type="expression" dxfId="4" priority="8873">
      <formula>AND(NOT(HasFormula(XFD3679)),XFD3679&lt;&gt;"")</formula>
    </cfRule>
  </conditionalFormatting>
  <conditionalFormatting sqref="D3852:D3853">
    <cfRule type="expression" dxfId="4" priority="8947">
      <formula>AND(NOT(HasFormula(XFD3854)),XFD3854&lt;&gt;"")</formula>
    </cfRule>
  </conditionalFormatting>
  <conditionalFormatting sqref="D3876:D3877">
    <cfRule type="expression" dxfId="4" priority="8941">
      <formula>AND(NOT(HasFormula(#REF!)),#REF!&lt;&gt;"")</formula>
    </cfRule>
  </conditionalFormatting>
  <conditionalFormatting sqref="D3911:D3913">
    <cfRule type="expression" dxfId="4" priority="8965">
      <formula>AND(NOT(HasFormula(#REF!)),#REF!&lt;&gt;"")</formula>
    </cfRule>
  </conditionalFormatting>
  <conditionalFormatting sqref="D4087:D4088">
    <cfRule type="expression" dxfId="4" priority="8977">
      <formula>AND(NOT(HasFormula(XFD4089)),XFD4089&lt;&gt;"")</formula>
    </cfRule>
  </conditionalFormatting>
  <conditionalFormatting sqref="D4220:D4224">
    <cfRule type="expression" dxfId="2" priority="114">
      <formula>AND(NOT(_xlfn.ISFORMULA(D4220)),D4220&lt;&gt;"")</formula>
    </cfRule>
    <cfRule type="expression" dxfId="4" priority="116">
      <formula>AND(NOT(HasFormula(XFD4221)),XFD4221&lt;&gt;"")</formula>
    </cfRule>
  </conditionalFormatting>
  <conditionalFormatting sqref="D4633:D4634">
    <cfRule type="expression" dxfId="4" priority="9114">
      <formula>AND(NOT(HasFormula(XFD4635)),XFD4635&lt;&gt;"")</formula>
    </cfRule>
  </conditionalFormatting>
  <conditionalFormatting sqref="D4658:D4659">
    <cfRule type="expression" dxfId="4" priority="9148">
      <formula>AND(NOT(HasFormula(XFD4660)),XFD4660&lt;&gt;"")</formula>
    </cfRule>
  </conditionalFormatting>
  <conditionalFormatting sqref="D4884:D4886">
    <cfRule type="expression" dxfId="2" priority="9170">
      <formula>AND(NOT(_xlfn.ISFORMULA(D4884)),D4884&lt;&gt;"")</formula>
    </cfRule>
    <cfRule type="expression" dxfId="4" priority="9171">
      <formula>AND(NOT(HasFormula(XFD4887)),XFD4887&lt;&gt;"")</formula>
    </cfRule>
  </conditionalFormatting>
  <conditionalFormatting sqref="D4888:D4889">
    <cfRule type="expression" dxfId="2" priority="9177">
      <formula>AND(NOT(_xlfn.ISFORMULA(D4888)),D4888&lt;&gt;"")</formula>
    </cfRule>
    <cfRule type="expression" dxfId="4" priority="9178">
      <formula>AND(NOT(HasFormula(XFD4890)),XFD4890&lt;&gt;"")</formula>
    </cfRule>
  </conditionalFormatting>
  <conditionalFormatting sqref="D5027:D5028">
    <cfRule type="expression" dxfId="4" priority="9220">
      <formula>AND(NOT(HasFormula(XFD5029)),XFD5029&lt;&gt;"")</formula>
    </cfRule>
  </conditionalFormatting>
  <conditionalFormatting sqref="D5097:D5098">
    <cfRule type="expression" dxfId="4" priority="9236">
      <formula>AND(NOT(HasFormula(XFD5100)),XFD5100&lt;&gt;"")</formula>
    </cfRule>
  </conditionalFormatting>
  <conditionalFormatting sqref="E1589:E1597">
    <cfRule type="expression" dxfId="4" priority="939">
      <formula>AND(NOT(HasFormula(A1590)),A1590&lt;&gt;"")</formula>
    </cfRule>
  </conditionalFormatting>
  <conditionalFormatting sqref="E1598:E1604">
    <cfRule type="expression" dxfId="4" priority="7781">
      <formula>AND(NOT(HasFormula(#REF!)),#REF!&lt;&gt;"")</formula>
    </cfRule>
  </conditionalFormatting>
  <conditionalFormatting sqref="E1702:E1706">
    <cfRule type="expression" dxfId="4" priority="7803">
      <formula>AND(NOT(HasFormula(#REF!)),#REF!&lt;&gt;"")</formula>
    </cfRule>
  </conditionalFormatting>
  <conditionalFormatting sqref="E1708:E1740">
    <cfRule type="expression" dxfId="4" priority="7809">
      <formula>AND(NOT(HasFormula(#REF!)),#REF!&lt;&gt;"")</formula>
    </cfRule>
  </conditionalFormatting>
  <conditionalFormatting sqref="E1762:E1769">
    <cfRule type="expression" dxfId="4" priority="7815">
      <formula>AND(NOT(HasFormula(#REF!)),#REF!&lt;&gt;"")</formula>
    </cfRule>
  </conditionalFormatting>
  <conditionalFormatting sqref="E1881:E1882">
    <cfRule type="expression" dxfId="4" priority="837">
      <formula>AND(NOT(HasFormula(A1882)),A1882&lt;&gt;"")</formula>
    </cfRule>
  </conditionalFormatting>
  <conditionalFormatting sqref="E1907:E1918">
    <cfRule type="expression" dxfId="4" priority="7839">
      <formula>AND(NOT(HasFormula(#REF!)),#REF!&lt;&gt;"")</formula>
    </cfRule>
  </conditionalFormatting>
  <conditionalFormatting sqref="E1919:E1924">
    <cfRule type="expression" dxfId="4" priority="795">
      <formula>AND(NOT(HasFormula(A1920)),A1920&lt;&gt;"")</formula>
    </cfRule>
  </conditionalFormatting>
  <conditionalFormatting sqref="E2053:E2054">
    <cfRule type="expression" dxfId="4" priority="7857">
      <formula>AND(NOT(HasFormula(#REF!)),#REF!&lt;&gt;"")</formula>
    </cfRule>
  </conditionalFormatting>
  <conditionalFormatting sqref="E2056:E2057">
    <cfRule type="expression" dxfId="4" priority="7863">
      <formula>AND(NOT(HasFormula(#REF!)),#REF!&lt;&gt;"")</formula>
    </cfRule>
  </conditionalFormatting>
  <conditionalFormatting sqref="E2058:E2086">
    <cfRule type="expression" dxfId="4" priority="714">
      <formula>AND(NOT(HasFormula(A2059)),A2059&lt;&gt;"")</formula>
    </cfRule>
  </conditionalFormatting>
  <conditionalFormatting sqref="E2090:E2108">
    <cfRule type="expression" dxfId="4" priority="7880">
      <formula>AND(NOT(HasFormula(#REF!)),#REF!&lt;&gt;"")</formula>
    </cfRule>
  </conditionalFormatting>
  <conditionalFormatting sqref="E2110:E2111">
    <cfRule type="expression" dxfId="4" priority="7886">
      <formula>AND(NOT(HasFormula(A2119)),A2119&lt;&gt;"")</formula>
    </cfRule>
  </conditionalFormatting>
  <conditionalFormatting sqref="E2112:E2118">
    <cfRule type="expression" dxfId="4" priority="7890">
      <formula>AND(NOT(HasFormula(A2129)),A2129&lt;&gt;"")</formula>
    </cfRule>
  </conditionalFormatting>
  <conditionalFormatting sqref="E2120:E2126">
    <cfRule type="expression" dxfId="4" priority="7902">
      <formula>AND(NOT(HasFormula(A2129)),A2129&lt;&gt;"")</formula>
    </cfRule>
  </conditionalFormatting>
  <conditionalFormatting sqref="E2127:E2128">
    <cfRule type="expression" dxfId="4" priority="7908">
      <formula>AND(NOT(HasFormula(#REF!)),#REF!&lt;&gt;"")</formula>
    </cfRule>
  </conditionalFormatting>
  <conditionalFormatting sqref="E2138:E2139">
    <cfRule type="expression" dxfId="4" priority="7922">
      <formula>AND(NOT(HasFormula(#REF!)),#REF!&lt;&gt;"")</formula>
    </cfRule>
  </conditionalFormatting>
  <conditionalFormatting sqref="E2166:E2167">
    <cfRule type="expression" dxfId="4" priority="7982">
      <formula>AND(NOT(HasFormula(#REF!)),#REF!&lt;&gt;"")</formula>
    </cfRule>
  </conditionalFormatting>
  <conditionalFormatting sqref="E2169:E2170">
    <cfRule type="expression" dxfId="4" priority="7976">
      <formula>AND(NOT(HasFormula(#REF!)),#REF!&lt;&gt;"")</formula>
    </cfRule>
  </conditionalFormatting>
  <conditionalFormatting sqref="E2225:E2226">
    <cfRule type="expression" dxfId="4" priority="8046">
      <formula>AND(NOT(HasFormula(A2227)),A2227&lt;&gt;"")</formula>
    </cfRule>
  </conditionalFormatting>
  <conditionalFormatting sqref="E2234:E2237">
    <cfRule type="expression" dxfId="4" priority="631">
      <formula>AND(NOT(HasFormula(A2235)),A2235&lt;&gt;"")</formula>
    </cfRule>
  </conditionalFormatting>
  <conditionalFormatting sqref="E2247:E2249">
    <cfRule type="expression" dxfId="4" priority="8058">
      <formula>AND(NOT(HasFormula(A2252)),A2252&lt;&gt;"")</formula>
    </cfRule>
  </conditionalFormatting>
  <conditionalFormatting sqref="E2270:E2277">
    <cfRule type="expression" dxfId="4" priority="612">
      <formula>AND(NOT(HasFormula(A2271)),A2271&lt;&gt;"")</formula>
    </cfRule>
  </conditionalFormatting>
  <conditionalFormatting sqref="E2349:E2351">
    <cfRule type="expression" dxfId="4" priority="558">
      <formula>AND(NOT(HasFormula(A2336)),A2336&lt;&gt;"")</formula>
    </cfRule>
  </conditionalFormatting>
  <conditionalFormatting sqref="E2529:E2532">
    <cfRule type="expression" dxfId="4" priority="8168">
      <formula>AND(NOT(HasFormula(A2533)),A2533&lt;&gt;"")</formula>
    </cfRule>
  </conditionalFormatting>
  <conditionalFormatting sqref="E2602:E2603">
    <cfRule type="expression" dxfId="4" priority="8190">
      <formula>AND(NOT(HasFormula(A2605)),A2605&lt;&gt;"")</formula>
    </cfRule>
  </conditionalFormatting>
  <conditionalFormatting sqref="E2725:E2726">
    <cfRule type="expression" dxfId="4" priority="8259">
      <formula>AND(NOT(HasFormula(A2727)),A2727&lt;&gt;"")</formula>
    </cfRule>
  </conditionalFormatting>
  <conditionalFormatting sqref="E2758:E2761">
    <cfRule type="expression" dxfId="4" priority="484">
      <formula>AND(NOT(HasFormula(A2759)),A2759&lt;&gt;"")</formula>
    </cfRule>
  </conditionalFormatting>
  <conditionalFormatting sqref="E2768:E2769">
    <cfRule type="expression" dxfId="4" priority="8289">
      <formula>AND(NOT(HasFormula(A2770)),A2770&lt;&gt;"")</formula>
    </cfRule>
  </conditionalFormatting>
  <conditionalFormatting sqref="E2771:E2772">
    <cfRule type="expression" dxfId="4" priority="8267">
      <formula>AND(NOT(HasFormula(#REF!)),#REF!&lt;&gt;"")</formula>
    </cfRule>
  </conditionalFormatting>
  <conditionalFormatting sqref="E2796:E2797">
    <cfRule type="expression" dxfId="4" priority="8283">
      <formula>AND(NOT(HasFormula(A2798)),A2798&lt;&gt;"")</formula>
    </cfRule>
  </conditionalFormatting>
  <conditionalFormatting sqref="E2906:E2907">
    <cfRule type="expression" dxfId="4" priority="8375">
      <formula>AND(NOT(HasFormula(A2908)),A2908&lt;&gt;"")</formula>
    </cfRule>
  </conditionalFormatting>
  <conditionalFormatting sqref="E2924:E2925">
    <cfRule type="expression" dxfId="4" priority="8369">
      <formula>AND(NOT(HasFormula(A2926)),A2926&lt;&gt;"")</formula>
    </cfRule>
  </conditionalFormatting>
  <conditionalFormatting sqref="E2949:E2953">
    <cfRule type="expression" dxfId="4" priority="461">
      <formula>AND(NOT(HasFormula(A2950)),A2950&lt;&gt;"")</formula>
    </cfRule>
  </conditionalFormatting>
  <conditionalFormatting sqref="E2958:E2960">
    <cfRule type="expression" dxfId="4" priority="445">
      <formula>AND(NOT(HasFormula(A2959)),A2959&lt;&gt;"")</formula>
    </cfRule>
  </conditionalFormatting>
  <conditionalFormatting sqref="E2966:E2967">
    <cfRule type="expression" dxfId="4" priority="8429">
      <formula>AND(NOT(HasFormula(A2968)),A2968&lt;&gt;"")</formula>
    </cfRule>
  </conditionalFormatting>
  <conditionalFormatting sqref="E2974:E2975">
    <cfRule type="expression" dxfId="4" priority="8433">
      <formula>AND(NOT(HasFormula(A2976)),A2976&lt;&gt;"")</formula>
    </cfRule>
  </conditionalFormatting>
  <conditionalFormatting sqref="E3026:E3027">
    <cfRule type="expression" dxfId="4" priority="402">
      <formula>AND(NOT(HasFormula(A3027)),A3027&lt;&gt;"")</formula>
    </cfRule>
  </conditionalFormatting>
  <conditionalFormatting sqref="E3057:E3058">
    <cfRule type="expression" dxfId="3" priority="303">
      <formula>AND(NOT(HasFormula(XFA3057)),XFA3057&lt;&gt;"")</formula>
    </cfRule>
    <cfRule type="expression" dxfId="4" priority="306">
      <formula>AND(NOT(HasFormula(A3059)),A3059&lt;&gt;"")</formula>
    </cfRule>
  </conditionalFormatting>
  <conditionalFormatting sqref="E3075:E3077">
    <cfRule type="expression" dxfId="4" priority="292">
      <formula>AND(NOT(HasFormula(A3076)),A3076&lt;&gt;"")</formula>
    </cfRule>
  </conditionalFormatting>
  <conditionalFormatting sqref="E3078:E3088">
    <cfRule type="expression" dxfId="4" priority="293">
      <formula>AND(NOT(HasFormula(#REF!)),#REF!&lt;&gt;"")</formula>
    </cfRule>
  </conditionalFormatting>
  <conditionalFormatting sqref="E3141:E3142">
    <cfRule type="expression" dxfId="4" priority="8534">
      <formula>AND(NOT(HasFormula(A3143)),A3143&lt;&gt;"")</formula>
    </cfRule>
  </conditionalFormatting>
  <conditionalFormatting sqref="E3212:E3213">
    <cfRule type="expression" dxfId="4" priority="8574">
      <formula>AND(NOT(HasFormula(A3214)),A3214&lt;&gt;"")</formula>
    </cfRule>
  </conditionalFormatting>
  <conditionalFormatting sqref="E3284:E3285">
    <cfRule type="expression" dxfId="4" priority="8582">
      <formula>AND(NOT(HasFormula(#REF!)),#REF!&lt;&gt;"")</formula>
    </cfRule>
  </conditionalFormatting>
  <conditionalFormatting sqref="E3322:E3323">
    <cfRule type="expression" dxfId="4" priority="8588">
      <formula>AND(NOT(HasFormula(A3324)),A3324&lt;&gt;"")</formula>
    </cfRule>
  </conditionalFormatting>
  <conditionalFormatting sqref="E3330:E3331">
    <cfRule type="expression" dxfId="4" priority="8614">
      <formula>AND(NOT(HasFormula(A3332)),A3332&lt;&gt;"")</formula>
    </cfRule>
  </conditionalFormatting>
  <conditionalFormatting sqref="E3540:E3541">
    <cfRule type="expression" dxfId="4" priority="8778">
      <formula>AND(NOT(HasFormula(A3542)),A3542&lt;&gt;"")</formula>
    </cfRule>
  </conditionalFormatting>
  <conditionalFormatting sqref="E3569:E3570">
    <cfRule type="expression" dxfId="4" priority="8788">
      <formula>AND(NOT(HasFormula(A3572)),A3572&lt;&gt;"")</formula>
    </cfRule>
  </conditionalFormatting>
  <conditionalFormatting sqref="E3604:E3605">
    <cfRule type="expression" dxfId="4" priority="8813">
      <formula>AND(NOT(HasFormula(A3606)),A3606&lt;&gt;"")</formula>
    </cfRule>
  </conditionalFormatting>
  <conditionalFormatting sqref="E3609:E3610">
    <cfRule type="expression" dxfId="4" priority="8832">
      <formula>AND(NOT(HasFormula(A3611)),A3611&lt;&gt;"")</formula>
    </cfRule>
  </conditionalFormatting>
  <conditionalFormatting sqref="E3617:E3618">
    <cfRule type="expression" dxfId="4" priority="8840">
      <formula>AND(NOT(HasFormula(A3619)),A3619&lt;&gt;"")</formula>
    </cfRule>
  </conditionalFormatting>
  <conditionalFormatting sqref="E3627:E3628">
    <cfRule type="expression" dxfId="4" priority="8852">
      <formula>AND(NOT(HasFormula(A3629)),A3629&lt;&gt;"")</formula>
    </cfRule>
  </conditionalFormatting>
  <conditionalFormatting sqref="E3630:E3633">
    <cfRule type="expression" dxfId="4" priority="8858">
      <formula>AND(NOT(HasFormula(A3634)),A3634&lt;&gt;"")</formula>
    </cfRule>
  </conditionalFormatting>
  <conditionalFormatting sqref="E3673:E3674">
    <cfRule type="expression" dxfId="4" priority="8868">
      <formula>AND(NOT(HasFormula(A3679)),A3679&lt;&gt;"")</formula>
    </cfRule>
  </conditionalFormatting>
  <conditionalFormatting sqref="E3675:E3678">
    <cfRule type="expression" dxfId="4" priority="8874">
      <formula>AND(NOT(HasFormula(A3679)),A3679&lt;&gt;"")</formula>
    </cfRule>
  </conditionalFormatting>
  <conditionalFormatting sqref="E3852:E3853">
    <cfRule type="expression" dxfId="4" priority="8948">
      <formula>AND(NOT(HasFormula(A3854)),A3854&lt;&gt;"")</formula>
    </cfRule>
  </conditionalFormatting>
  <conditionalFormatting sqref="E3876:E3877">
    <cfRule type="expression" dxfId="4" priority="8942">
      <formula>AND(NOT(HasFormula(#REF!)),#REF!&lt;&gt;"")</formula>
    </cfRule>
  </conditionalFormatting>
  <conditionalFormatting sqref="E3911:E3913">
    <cfRule type="expression" dxfId="4" priority="8966">
      <formula>AND(NOT(HasFormula(#REF!)),#REF!&lt;&gt;"")</formula>
    </cfRule>
  </conditionalFormatting>
  <conditionalFormatting sqref="E4087:E4088">
    <cfRule type="expression" dxfId="4" priority="8978">
      <formula>AND(NOT(HasFormula(A4089)),A4089&lt;&gt;"")</formula>
    </cfRule>
  </conditionalFormatting>
  <conditionalFormatting sqref="E4220:E4224">
    <cfRule type="expression" dxfId="4" priority="120">
      <formula>AND(NOT(HasFormula(A4221)),A4221&lt;&gt;"")</formula>
    </cfRule>
  </conditionalFormatting>
  <conditionalFormatting sqref="E4633:E4634">
    <cfRule type="expression" dxfId="4" priority="9115">
      <formula>AND(NOT(HasFormula(A4635)),A4635&lt;&gt;"")</formula>
    </cfRule>
  </conditionalFormatting>
  <conditionalFormatting sqref="E4658:E4659">
    <cfRule type="expression" dxfId="4" priority="9149">
      <formula>AND(NOT(HasFormula(A4660)),A4660&lt;&gt;"")</formula>
    </cfRule>
  </conditionalFormatting>
  <conditionalFormatting sqref="E4884:E4886">
    <cfRule type="expression" dxfId="4" priority="9172">
      <formula>AND(NOT(HasFormula(A4887)),A4887&lt;&gt;"")</formula>
    </cfRule>
  </conditionalFormatting>
  <conditionalFormatting sqref="E4888:E4889">
    <cfRule type="expression" dxfId="4" priority="9179">
      <formula>AND(NOT(HasFormula(A4890)),A4890&lt;&gt;"")</formula>
    </cfRule>
  </conditionalFormatting>
  <conditionalFormatting sqref="E5027:E5028">
    <cfRule type="expression" dxfId="4" priority="9221">
      <formula>AND(NOT(HasFormula(A5029)),A5029&lt;&gt;"")</formula>
    </cfRule>
  </conditionalFormatting>
  <conditionalFormatting sqref="E5097:E5098">
    <cfRule type="expression" dxfId="4" priority="9237">
      <formula>AND(NOT(HasFormula(A5100)),A5100&lt;&gt;"")</formula>
    </cfRule>
  </conditionalFormatting>
  <conditionalFormatting sqref="F1:F170">
    <cfRule type="containsText" dxfId="6" priority="1978" operator="between" text="12m">
      <formula>NOT(ISERROR(SEARCH("12m",F1)))</formula>
    </cfRule>
    <cfRule type="containsText" dxfId="5" priority="1979" operator="between" text="HRB500E">
      <formula>NOT(ISERROR(SEARCH("HRB500E",F1)))</formula>
    </cfRule>
  </conditionalFormatting>
  <conditionalFormatting sqref="F172:F607">
    <cfRule type="containsText" dxfId="5" priority="1880" operator="between" text="HRB500E">
      <formula>NOT(ISERROR(SEARCH("HRB500E",F172)))</formula>
    </cfRule>
    <cfRule type="containsText" dxfId="6" priority="1879" operator="between" text="12m">
      <formula>NOT(ISERROR(SEARCH("12m",F172)))</formula>
    </cfRule>
  </conditionalFormatting>
  <conditionalFormatting sqref="F1589:F1591">
    <cfRule type="containsText" dxfId="5" priority="934" operator="between" text="HRB500E">
      <formula>NOT(ISERROR(SEARCH("HRB500E",F1589)))</formula>
    </cfRule>
    <cfRule type="containsText" dxfId="6" priority="933" operator="between" text="12m">
      <formula>NOT(ISERROR(SEARCH("12m",F1589)))</formula>
    </cfRule>
  </conditionalFormatting>
  <conditionalFormatting sqref="F1881:F1882">
    <cfRule type="containsText" dxfId="5" priority="832" operator="between" text="HRB500E">
      <formula>NOT(ISERROR(SEARCH("HRB500E",F1881)))</formula>
    </cfRule>
    <cfRule type="containsText" dxfId="6" priority="831" operator="between" text="12m">
      <formula>NOT(ISERROR(SEARCH("12m",F1881)))</formula>
    </cfRule>
  </conditionalFormatting>
  <conditionalFormatting sqref="F1919:F1925">
    <cfRule type="containsText" dxfId="5" priority="790" operator="between" text="HRB500E">
      <formula>NOT(ISERROR(SEARCH("HRB500E",F1919)))</formula>
    </cfRule>
    <cfRule type="containsText" dxfId="6" priority="789" operator="between" text="12m">
      <formula>NOT(ISERROR(SEARCH("12m",F1919)))</formula>
    </cfRule>
  </conditionalFormatting>
  <conditionalFormatting sqref="F2234:F2237">
    <cfRule type="containsText" dxfId="6" priority="625" operator="between" text="12m">
      <formula>NOT(ISERROR(SEARCH("12m",F2234)))</formula>
    </cfRule>
    <cfRule type="containsText" dxfId="5" priority="626" operator="between" text="HRB500E">
      <formula>NOT(ISERROR(SEARCH("HRB500E",F2234)))</formula>
    </cfRule>
  </conditionalFormatting>
  <conditionalFormatting sqref="F2270:F2277">
    <cfRule type="containsText" dxfId="6" priority="608" operator="between" text="12m">
      <formula>NOT(ISERROR(SEARCH("12m",F2270)))</formula>
    </cfRule>
    <cfRule type="containsText" dxfId="5" priority="609" operator="between" text="HRB500E">
      <formula>NOT(ISERROR(SEARCH("HRB500E",F2270)))</formula>
    </cfRule>
  </conditionalFormatting>
  <conditionalFormatting sqref="F2758:F2761">
    <cfRule type="containsText" dxfId="5" priority="481" operator="between" text="HRB500E">
      <formula>NOT(ISERROR(SEARCH("HRB500E",F2758)))</formula>
    </cfRule>
    <cfRule type="containsText" dxfId="6" priority="480" operator="between" text="12m">
      <formula>NOT(ISERROR(SEARCH("12m",F2758)))</formula>
    </cfRule>
  </conditionalFormatting>
  <conditionalFormatting sqref="F2778:F2784">
    <cfRule type="containsText" dxfId="5" priority="474" operator="between" text="HRB500E">
      <formula>NOT(ISERROR(SEARCH("HRB500E",F2778)))</formula>
    </cfRule>
  </conditionalFormatting>
  <conditionalFormatting sqref="F2949:F2953">
    <cfRule type="containsText" dxfId="6" priority="455" operator="between" text="12m">
      <formula>NOT(ISERROR(SEARCH("12m",F2949)))</formula>
    </cfRule>
    <cfRule type="containsText" dxfId="5" priority="456" operator="between" text="HRB500E">
      <formula>NOT(ISERROR(SEARCH("HRB500E",F2949)))</formula>
    </cfRule>
  </conditionalFormatting>
  <conditionalFormatting sqref="F2958:F2960">
    <cfRule type="containsText" dxfId="6" priority="441" operator="between" text="12m">
      <formula>NOT(ISERROR(SEARCH("12m",F2958)))</formula>
    </cfRule>
    <cfRule type="containsText" dxfId="5" priority="442" operator="between" text="HRB500E">
      <formula>NOT(ISERROR(SEARCH("HRB500E",F2958)))</formula>
    </cfRule>
  </conditionalFormatting>
  <conditionalFormatting sqref="F2996:F3002">
    <cfRule type="containsText" dxfId="6" priority="423" operator="between" text="12m">
      <formula>NOT(ISERROR(SEARCH("12m",F2996)))</formula>
    </cfRule>
    <cfRule type="containsText" dxfId="5" priority="424" operator="between" text="HRB500E">
      <formula>NOT(ISERROR(SEARCH("HRB500E",F2996)))</formula>
    </cfRule>
  </conditionalFormatting>
  <conditionalFormatting sqref="F3026:F3028">
    <cfRule type="containsText" dxfId="6" priority="398" operator="between" text="12m">
      <formula>NOT(ISERROR(SEARCH("12m",F3026)))</formula>
    </cfRule>
    <cfRule type="containsText" dxfId="5" priority="399" operator="between" text="HRB500E">
      <formula>NOT(ISERROR(SEARCH("HRB500E",F3026)))</formula>
    </cfRule>
  </conditionalFormatting>
  <conditionalFormatting sqref="F3043:F3048">
    <cfRule type="containsText" dxfId="6" priority="321" operator="between" text="12m">
      <formula>NOT(ISERROR(SEARCH("12m",F3043)))</formula>
    </cfRule>
    <cfRule type="containsText" dxfId="5" priority="322" operator="between" text="HRB500E">
      <formula>NOT(ISERROR(SEARCH("HRB500E",F3043)))</formula>
    </cfRule>
  </conditionalFormatting>
  <conditionalFormatting sqref="F3049:F3051">
    <cfRule type="containsText" dxfId="6" priority="334" operator="between" text="12m">
      <formula>NOT(ISERROR(SEARCH("12m",F3049)))</formula>
    </cfRule>
    <cfRule type="containsText" dxfId="5" priority="335" operator="between" text="HRB500E">
      <formula>NOT(ISERROR(SEARCH("HRB500E",F3049)))</formula>
    </cfRule>
  </conditionalFormatting>
  <conditionalFormatting sqref="F3052:F3056">
    <cfRule type="containsText" dxfId="6" priority="347" operator="between" text="12m">
      <formula>NOT(ISERROR(SEARCH("12m",F3052)))</formula>
    </cfRule>
    <cfRule type="containsText" dxfId="5" priority="348" operator="between" text="HRB500E">
      <formula>NOT(ISERROR(SEARCH("HRB500E",F3052)))</formula>
    </cfRule>
  </conditionalFormatting>
  <conditionalFormatting sqref="F3057:F3058">
    <cfRule type="containsText" dxfId="6" priority="304" operator="between" text="12m">
      <formula>NOT(ISERROR(SEARCH("12m",F3057)))</formula>
    </cfRule>
    <cfRule type="containsText" dxfId="5" priority="305" operator="between" text="HRB500E">
      <formula>NOT(ISERROR(SEARCH("HRB500E",F3057)))</formula>
    </cfRule>
  </conditionalFormatting>
  <conditionalFormatting sqref="F3075:F3088">
    <cfRule type="containsText" dxfId="6" priority="290" operator="between" text="12m">
      <formula>NOT(ISERROR(SEARCH("12m",F3075)))</formula>
    </cfRule>
    <cfRule type="containsText" dxfId="5" priority="291" operator="between" text="HRB500E">
      <formula>NOT(ISERROR(SEARCH("HRB500E",F3075)))</formula>
    </cfRule>
  </conditionalFormatting>
  <conditionalFormatting sqref="F3184:F3227">
    <cfRule type="containsText" dxfId="6" priority="242" operator="between" text="12m">
      <formula>NOT(ISERROR(SEARCH("12m",F3184)))</formula>
    </cfRule>
    <cfRule type="containsText" dxfId="5" priority="243" operator="between" text="HRB500E">
      <formula>NOT(ISERROR(SEARCH("HRB500E",F3184)))</formula>
    </cfRule>
  </conditionalFormatting>
  <conditionalFormatting sqref="F4220:F4224">
    <cfRule type="containsText" dxfId="6" priority="118" operator="between" text="12m">
      <formula>NOT(ISERROR(SEARCH("12m",F4220)))</formula>
    </cfRule>
    <cfRule type="containsText" dxfId="5" priority="119" operator="between" text="HRB500E">
      <formula>NOT(ISERROR(SEARCH("HRB500E",F4220)))</formula>
    </cfRule>
  </conditionalFormatting>
  <conditionalFormatting sqref="F4878:F4907">
    <cfRule type="containsText" dxfId="6" priority="27" operator="between" text="12m">
      <formula>NOT(ISERROR(SEARCH("12m",F4878)))</formula>
    </cfRule>
    <cfRule type="containsText" dxfId="5" priority="28" operator="between" text="HRB500E">
      <formula>NOT(ISERROR(SEARCH("HRB500E",F4878)))</formula>
    </cfRule>
  </conditionalFormatting>
  <conditionalFormatting sqref="H1589:H1604">
    <cfRule type="expression" dxfId="3" priority="936">
      <formula>AND(NOT(HasFormula(XFD1589)),XFD1589&lt;&gt;"")</formula>
    </cfRule>
    <cfRule type="expression" dxfId="4" priority="935">
      <formula>AND(NOT(HasFormula(D1590)),D1590&lt;&gt;"")</formula>
    </cfRule>
  </conditionalFormatting>
  <conditionalFormatting sqref="H1702:H1706">
    <cfRule type="expression" dxfId="4" priority="7800">
      <formula>AND(NOT(HasFormula(#REF!)),#REF!&lt;&gt;"")</formula>
    </cfRule>
    <cfRule type="expression" dxfId="3" priority="7801">
      <formula>AND(NOT(HasFormula(XFD1702)),XFD1702&lt;&gt;"")</formula>
    </cfRule>
  </conditionalFormatting>
  <conditionalFormatting sqref="H1708:H1740">
    <cfRule type="expression" dxfId="4" priority="7806">
      <formula>AND(NOT(HasFormula(#REF!)),#REF!&lt;&gt;"")</formula>
    </cfRule>
    <cfRule type="expression" dxfId="3" priority="7807">
      <formula>AND(NOT(HasFormula(XFD1708)),XFD1708&lt;&gt;"")</formula>
    </cfRule>
  </conditionalFormatting>
  <conditionalFormatting sqref="H1753:H1769">
    <cfRule type="expression" dxfId="3" priority="855">
      <formula>AND(NOT(HasFormula(XFD1753)),XFD1753&lt;&gt;"")</formula>
    </cfRule>
    <cfRule type="expression" dxfId="4" priority="854">
      <formula>AND(NOT(HasFormula(D1754)),D1754&lt;&gt;"")</formula>
    </cfRule>
  </conditionalFormatting>
  <conditionalFormatting sqref="H1881:H1882">
    <cfRule type="expression" dxfId="3" priority="834">
      <formula>AND(NOT(HasFormula(XFD1881)),XFD1881&lt;&gt;"")</formula>
    </cfRule>
    <cfRule type="expression" dxfId="4" priority="833">
      <formula>AND(NOT(HasFormula(D1882)),D1882&lt;&gt;"")</formula>
    </cfRule>
  </conditionalFormatting>
  <conditionalFormatting sqref="H2053:H2054">
    <cfRule type="expression" dxfId="4" priority="7854">
      <formula>AND(NOT(HasFormula(#REF!)),#REF!&lt;&gt;"")</formula>
    </cfRule>
    <cfRule type="expression" dxfId="3" priority="7855">
      <formula>AND(NOT(HasFormula(XFD2053)),XFD2053&lt;&gt;"")</formula>
    </cfRule>
  </conditionalFormatting>
  <conditionalFormatting sqref="H2056:H2057">
    <cfRule type="expression" dxfId="4" priority="7860">
      <formula>AND(NOT(HasFormula(#REF!)),#REF!&lt;&gt;"")</formula>
    </cfRule>
    <cfRule type="expression" dxfId="3" priority="7861">
      <formula>AND(NOT(HasFormula(XFD2056)),XFD2056&lt;&gt;"")</formula>
    </cfRule>
  </conditionalFormatting>
  <conditionalFormatting sqref="H2090:H2108">
    <cfRule type="expression" dxfId="4" priority="7877">
      <formula>AND(NOT(HasFormula(#REF!)),#REF!&lt;&gt;"")</formula>
    </cfRule>
    <cfRule type="expression" dxfId="3" priority="7878">
      <formula>AND(NOT(HasFormula(XFD2090)),XFD2090&lt;&gt;"")</formula>
    </cfRule>
  </conditionalFormatting>
  <conditionalFormatting sqref="H2110:H2111">
    <cfRule type="expression" dxfId="4" priority="7883">
      <formula>AND(NOT(HasFormula(D2119)),D2119&lt;&gt;"")</formula>
    </cfRule>
    <cfRule type="expression" dxfId="3" priority="7884">
      <formula>AND(NOT(HasFormula(XFD2110)),XFD2110&lt;&gt;"")</formula>
    </cfRule>
  </conditionalFormatting>
  <conditionalFormatting sqref="H2112:H2118">
    <cfRule type="expression" dxfId="4" priority="7891">
      <formula>AND(NOT(HasFormula(D2129)),D2129&lt;&gt;"")</formula>
    </cfRule>
    <cfRule type="expression" dxfId="3" priority="7892">
      <formula>AND(NOT(HasFormula(XFD2112)),XFD2112&lt;&gt;"")</formula>
    </cfRule>
  </conditionalFormatting>
  <conditionalFormatting sqref="H2120:H2126">
    <cfRule type="expression" dxfId="4" priority="7903">
      <formula>AND(NOT(HasFormula(D2129)),D2129&lt;&gt;"")</formula>
    </cfRule>
    <cfRule type="expression" dxfId="3" priority="7904">
      <formula>AND(NOT(HasFormula(XFD2120)),XFD2120&lt;&gt;"")</formula>
    </cfRule>
  </conditionalFormatting>
  <conditionalFormatting sqref="H2127:H2128">
    <cfRule type="expression" dxfId="4" priority="7909">
      <formula>AND(NOT(HasFormula(#REF!)),#REF!&lt;&gt;"")</formula>
    </cfRule>
    <cfRule type="expression" dxfId="3" priority="7910">
      <formula>AND(NOT(HasFormula(XFD2127)),XFD2127&lt;&gt;"")</formula>
    </cfRule>
  </conditionalFormatting>
  <conditionalFormatting sqref="H2138:H2139">
    <cfRule type="expression" dxfId="4" priority="7919">
      <formula>AND(NOT(HasFormula(#REF!)),#REF!&lt;&gt;"")</formula>
    </cfRule>
    <cfRule type="expression" dxfId="3" priority="7920">
      <formula>AND(NOT(HasFormula(XFD2138)),XFD2138&lt;&gt;"")</formula>
    </cfRule>
  </conditionalFormatting>
  <conditionalFormatting sqref="H2165:H2166">
    <cfRule type="expression" dxfId="4" priority="7925">
      <formula>AND(NOT(HasFormula(#REF!)),#REF!&lt;&gt;"")</formula>
    </cfRule>
    <cfRule type="expression" dxfId="3" priority="7926">
      <formula>AND(NOT(HasFormula(XFD2165)),XFD2165&lt;&gt;"")</formula>
    </cfRule>
  </conditionalFormatting>
  <conditionalFormatting sqref="H2168:H2173">
    <cfRule type="expression" dxfId="4" priority="7964">
      <formula>AND(NOT(HasFormula(#REF!)),#REF!&lt;&gt;"")</formula>
    </cfRule>
    <cfRule type="expression" dxfId="3" priority="7965">
      <formula>AND(NOT(HasFormula(XFD2168)),XFD2168&lt;&gt;"")</formula>
    </cfRule>
  </conditionalFormatting>
  <conditionalFormatting sqref="H2247:H2249">
    <cfRule type="expression" dxfId="4" priority="8055">
      <formula>AND(NOT(HasFormula(D2252)),D2252&lt;&gt;"")</formula>
    </cfRule>
    <cfRule type="expression" dxfId="3" priority="8056">
      <formula>AND(NOT(HasFormula(XFD2247)),XFD2247&lt;&gt;"")</formula>
    </cfRule>
    <cfRule type="expression" dxfId="4" priority="8067">
      <formula>AND(NOT(HasFormula(D2252)),D2252&lt;&gt;"")</formula>
    </cfRule>
    <cfRule type="expression" dxfId="3" priority="8068">
      <formula>AND(NOT(HasFormula(XFD2247)),XFD2247&lt;&gt;"")</formula>
    </cfRule>
  </conditionalFormatting>
  <conditionalFormatting sqref="H2270:H2277">
    <cfRule type="expression" dxfId="4" priority="602">
      <formula>AND(NOT(HasFormula(D2271)),D2271&lt;&gt;"")</formula>
    </cfRule>
    <cfRule type="expression" dxfId="3" priority="603">
      <formula>AND(NOT(HasFormula(XFD2270)),XFD2270&lt;&gt;"")</formula>
    </cfRule>
  </conditionalFormatting>
  <conditionalFormatting sqref="H2338:H2348">
    <cfRule type="expression" dxfId="3" priority="575">
      <formula>AND(NOT(HasFormula(XFD2338)),XFD2338&lt;&gt;"")</formula>
    </cfRule>
    <cfRule type="expression" dxfId="4" priority="574">
      <formula>AND(NOT(HasFormula(D2325)),D2325&lt;&gt;"")</formula>
    </cfRule>
  </conditionalFormatting>
  <conditionalFormatting sqref="H2349:H2358">
    <cfRule type="expression" dxfId="3" priority="560">
      <formula>AND(NOT(HasFormula(XFD2349)),XFD2349&lt;&gt;"")</formula>
    </cfRule>
    <cfRule type="expression" dxfId="4" priority="559">
      <formula>AND(NOT(HasFormula(D2336)),D2336&lt;&gt;"")</formula>
    </cfRule>
  </conditionalFormatting>
  <conditionalFormatting sqref="H2359:H2437">
    <cfRule type="expression" dxfId="4" priority="546">
      <formula>AND(NOT(HasFormula(D2347)),D2347&lt;&gt;"")</formula>
    </cfRule>
    <cfRule type="expression" dxfId="3" priority="547">
      <formula>AND(NOT(HasFormula(XFD2359)),XFD2359&lt;&gt;"")</formula>
    </cfRule>
  </conditionalFormatting>
  <conditionalFormatting sqref="H2483:H2521">
    <cfRule type="expression" dxfId="3" priority="532">
      <formula>AND(NOT(HasFormula(XFD2483)),XFD2483&lt;&gt;"")</formula>
    </cfRule>
    <cfRule type="expression" dxfId="4" priority="531">
      <formula>AND(NOT(HasFormula(D2484)),D2484&lt;&gt;"")</formula>
    </cfRule>
  </conditionalFormatting>
  <conditionalFormatting sqref="H2529:H2534">
    <cfRule type="expression" dxfId="4" priority="8165">
      <formula>AND(NOT(HasFormula(D2533)),D2533&lt;&gt;"")</formula>
    </cfRule>
    <cfRule type="expression" dxfId="3" priority="8166">
      <formula>AND(NOT(HasFormula(XFD2529)),XFD2529&lt;&gt;"")</formula>
    </cfRule>
  </conditionalFormatting>
  <conditionalFormatting sqref="H2576:H2581">
    <cfRule type="expression" dxfId="3" priority="524">
      <formula>AND(NOT(HasFormula(XFD2576)),XFD2576&lt;&gt;"")</formula>
    </cfRule>
    <cfRule type="expression" dxfId="4" priority="523">
      <formula>AND(NOT(HasFormula(D2577)),D2577&lt;&gt;"")</formula>
    </cfRule>
  </conditionalFormatting>
  <conditionalFormatting sqref="H2602:H2604">
    <cfRule type="expression" dxfId="4" priority="8191">
      <formula>AND(NOT(HasFormula(D2605)),D2605&lt;&gt;"")</formula>
    </cfRule>
    <cfRule type="expression" dxfId="3" priority="8192">
      <formula>AND(NOT(HasFormula(XFD2602)),XFD2602&lt;&gt;"")</formula>
    </cfRule>
  </conditionalFormatting>
  <conditionalFormatting sqref="H2611:H2643">
    <cfRule type="expression" dxfId="4" priority="8195">
      <formula>AND(NOT(HasFormula(#REF!)),#REF!&lt;&gt;"")</formula>
    </cfRule>
    <cfRule type="expression" dxfId="3" priority="8196">
      <formula>AND(NOT(HasFormula(XFD2611)),XFD2611&lt;&gt;"")</formula>
    </cfRule>
  </conditionalFormatting>
  <conditionalFormatting sqref="H2650:H2664">
    <cfRule type="expression" dxfId="4" priority="514">
      <formula>AND(NOT(HasFormula(D2651)),D2651&lt;&gt;"")</formula>
    </cfRule>
    <cfRule type="expression" dxfId="3" priority="515">
      <formula>AND(NOT(HasFormula(XFD2650)),XFD2650&lt;&gt;"")</formula>
    </cfRule>
  </conditionalFormatting>
  <conditionalFormatting sqref="H2758:H2777">
    <cfRule type="expression" dxfId="4" priority="485">
      <formula>AND(NOT(HasFormula(#REF!)),#REF!&lt;&gt;"")</formula>
    </cfRule>
    <cfRule type="expression" dxfId="3" priority="486">
      <formula>AND(NOT(HasFormula(XFD2758)),XFD2758&lt;&gt;"")</formula>
    </cfRule>
  </conditionalFormatting>
  <conditionalFormatting sqref="H2778:H2801">
    <cfRule type="expression" dxfId="4" priority="471">
      <formula>AND(NOT(HasFormula(#REF!)),#REF!&lt;&gt;"")</formula>
    </cfRule>
    <cfRule type="expression" dxfId="3" priority="472">
      <formula>AND(NOT(HasFormula(XFD2778)),XFD2778&lt;&gt;"")</formula>
    </cfRule>
  </conditionalFormatting>
  <conditionalFormatting sqref="H2802:H2842">
    <cfRule type="expression" dxfId="3" priority="466">
      <formula>AND(NOT(HasFormula(XFD2802)),XFD2802&lt;&gt;"")</formula>
    </cfRule>
    <cfRule type="expression" dxfId="4" priority="465">
      <formula>AND(NOT(HasFormula(#REF!)),#REF!&lt;&gt;"")</formula>
    </cfRule>
  </conditionalFormatting>
  <conditionalFormatting sqref="H2851:H2859">
    <cfRule type="expression" dxfId="4" priority="8334">
      <formula>AND(NOT(HasFormula(#REF!)),#REF!&lt;&gt;"")</formula>
    </cfRule>
    <cfRule type="expression" dxfId="3" priority="8335">
      <formula>AND(NOT(HasFormula(XFD2851)),XFD2851&lt;&gt;"")</formula>
    </cfRule>
  </conditionalFormatting>
  <conditionalFormatting sqref="H2906:H2907">
    <cfRule type="expression" dxfId="4" priority="8372">
      <formula>AND(NOT(HasFormula(D2908)),D2908&lt;&gt;"")</formula>
    </cfRule>
    <cfRule type="expression" dxfId="3" priority="8373">
      <formula>AND(NOT(HasFormula(XFD2906)),XFD2906&lt;&gt;"")</formula>
    </cfRule>
  </conditionalFormatting>
  <conditionalFormatting sqref="H2932:H2948">
    <cfRule type="expression" dxfId="4" priority="462">
      <formula>AND(NOT(HasFormula(#REF!)),#REF!&lt;&gt;"")</formula>
    </cfRule>
    <cfRule type="expression" dxfId="3" priority="463">
      <formula>AND(NOT(HasFormula(XFD2932)),XFD2932&lt;&gt;"")</formula>
    </cfRule>
  </conditionalFormatting>
  <conditionalFormatting sqref="H2949:H2957">
    <cfRule type="expression" dxfId="4" priority="446">
      <formula>AND(NOT(HasFormula(#REF!)),#REF!&lt;&gt;"")</formula>
    </cfRule>
    <cfRule type="expression" dxfId="3" priority="447">
      <formula>AND(NOT(HasFormula(XFD2949)),XFD2949&lt;&gt;"")</formula>
    </cfRule>
  </conditionalFormatting>
  <conditionalFormatting sqref="H2958:H2995">
    <cfRule type="expression" dxfId="4" priority="434">
      <formula>AND(NOT(HasFormula(#REF!)),#REF!&lt;&gt;"")</formula>
    </cfRule>
    <cfRule type="expression" dxfId="3" priority="435">
      <formula>AND(NOT(HasFormula(XFD2958)),XFD2958&lt;&gt;"")</formula>
    </cfRule>
  </conditionalFormatting>
  <conditionalFormatting sqref="H2996:H3025">
    <cfRule type="expression" dxfId="4" priority="407">
      <formula>AND(NOT(HasFormula(#REF!)),#REF!&lt;&gt;"")</formula>
    </cfRule>
    <cfRule type="expression" dxfId="3" priority="408">
      <formula>AND(NOT(HasFormula(XFD2996)),XFD2996&lt;&gt;"")</formula>
    </cfRule>
  </conditionalFormatting>
  <conditionalFormatting sqref="H3026:H3032">
    <cfRule type="expression" dxfId="4" priority="367">
      <formula>AND(NOT(HasFormula(#REF!)),#REF!&lt;&gt;"")</formula>
    </cfRule>
    <cfRule type="expression" dxfId="3" priority="368">
      <formula>AND(NOT(HasFormula(XFD3026)),XFD3026&lt;&gt;"")</formula>
    </cfRule>
  </conditionalFormatting>
  <conditionalFormatting sqref="H3033:H3038">
    <cfRule type="expression" dxfId="4" priority="301">
      <formula>AND(NOT(HasFormula(#REF!)),#REF!&lt;&gt;"")</formula>
    </cfRule>
    <cfRule type="expression" dxfId="3" priority="302">
      <formula>AND(NOT(HasFormula(XFD3033)),XFD3033&lt;&gt;"")</formula>
    </cfRule>
  </conditionalFormatting>
  <conditionalFormatting sqref="H3039:H3042">
    <cfRule type="expression" dxfId="4" priority="363">
      <formula>AND(NOT(HasFormula(#REF!)),#REF!&lt;&gt;"")</formula>
    </cfRule>
    <cfRule type="expression" dxfId="3" priority="364">
      <formula>AND(NOT(HasFormula(XFD3039)),XFD3039&lt;&gt;"")</formula>
    </cfRule>
  </conditionalFormatting>
  <conditionalFormatting sqref="H3043:H3054">
    <cfRule type="expression" dxfId="4" priority="299">
      <formula>AND(NOT(HasFormula(#REF!)),#REF!&lt;&gt;"")</formula>
    </cfRule>
    <cfRule type="expression" dxfId="3" priority="300">
      <formula>AND(NOT(HasFormula(XFD3043)),XFD3043&lt;&gt;"")</formula>
    </cfRule>
  </conditionalFormatting>
  <conditionalFormatting sqref="H3055:H3102">
    <cfRule type="expression" dxfId="3" priority="256">
      <formula>AND(NOT(HasFormula(XFD3055)),XFD3055&lt;&gt;"")</formula>
    </cfRule>
    <cfRule type="expression" dxfId="4" priority="255">
      <formula>AND(NOT(HasFormula(#REF!)),#REF!&lt;&gt;"")</formula>
    </cfRule>
  </conditionalFormatting>
  <conditionalFormatting sqref="H3141:H3142">
    <cfRule type="expression" dxfId="4" priority="8531">
      <formula>AND(NOT(HasFormula(D3143)),D3143&lt;&gt;"")</formula>
    </cfRule>
    <cfRule type="expression" dxfId="3" priority="8532">
      <formula>AND(NOT(HasFormula(XFD3141)),XFD3141&lt;&gt;"")</formula>
    </cfRule>
  </conditionalFormatting>
  <conditionalFormatting sqref="H3154:H3183">
    <cfRule type="expression" dxfId="4" priority="8537">
      <formula>AND(NOT(HasFormula(#REF!)),#REF!&lt;&gt;"")</formula>
    </cfRule>
    <cfRule type="expression" dxfId="3" priority="8538">
      <formula>AND(NOT(HasFormula(XFD3154)),XFD3154&lt;&gt;"")</formula>
    </cfRule>
  </conditionalFormatting>
  <conditionalFormatting sqref="H3184:H3261">
    <cfRule type="expression" dxfId="4" priority="234">
      <formula>AND(NOT(HasFormula(#REF!)),#REF!&lt;&gt;"")</formula>
    </cfRule>
    <cfRule type="expression" dxfId="3" priority="235">
      <formula>AND(NOT(HasFormula(XFD3184)),XFD3184&lt;&gt;"")</formula>
    </cfRule>
  </conditionalFormatting>
  <conditionalFormatting sqref="H3284:H3289">
    <cfRule type="expression" dxfId="4" priority="8579">
      <formula>AND(NOT(HasFormula(#REF!)),#REF!&lt;&gt;"")</formula>
    </cfRule>
    <cfRule type="expression" dxfId="3" priority="8580">
      <formula>AND(NOT(HasFormula(XFD3284)),XFD3284&lt;&gt;"")</formula>
    </cfRule>
  </conditionalFormatting>
  <conditionalFormatting sqref="H3290:H3316">
    <cfRule type="expression" dxfId="4" priority="232">
      <formula>AND(NOT(HasFormula(#REF!)),#REF!&lt;&gt;"")</formula>
    </cfRule>
    <cfRule type="expression" dxfId="3" priority="233">
      <formula>AND(NOT(HasFormula(XFD3290)),XFD3290&lt;&gt;"")</formula>
    </cfRule>
  </conditionalFormatting>
  <conditionalFormatting sqref="H3317:H3318">
    <cfRule type="expression" dxfId="4" priority="230">
      <formula>AND(NOT(HasFormula(#REF!)),#REF!&lt;&gt;"")</formula>
    </cfRule>
    <cfRule type="expression" dxfId="3" priority="231">
      <formula>AND(NOT(HasFormula(XFD3317)),XFD3317&lt;&gt;"")</formula>
    </cfRule>
  </conditionalFormatting>
  <conditionalFormatting sqref="H3319:H3329">
    <cfRule type="expression" dxfId="4" priority="228">
      <formula>AND(NOT(HasFormula(#REF!)),#REF!&lt;&gt;"")</formula>
    </cfRule>
    <cfRule type="expression" dxfId="3" priority="229">
      <formula>AND(NOT(HasFormula(XFD3319)),XFD3319&lt;&gt;"")</formula>
    </cfRule>
  </conditionalFormatting>
  <conditionalFormatting sqref="H3330:H3335">
    <cfRule type="expression" dxfId="4" priority="224">
      <formula>AND(NOT(HasFormula(#REF!)),#REF!&lt;&gt;"")</formula>
    </cfRule>
    <cfRule type="expression" dxfId="3" priority="225">
      <formula>AND(NOT(HasFormula(XFD3330)),XFD3330&lt;&gt;"")</formula>
    </cfRule>
  </conditionalFormatting>
  <conditionalFormatting sqref="H3336:H3375">
    <cfRule type="expression" dxfId="4" priority="222">
      <formula>AND(NOT(HasFormula(#REF!)),#REF!&lt;&gt;"")</formula>
    </cfRule>
    <cfRule type="expression" dxfId="3" priority="223">
      <formula>AND(NOT(HasFormula(XFD3336)),XFD3336&lt;&gt;"")</formula>
    </cfRule>
  </conditionalFormatting>
  <conditionalFormatting sqref="H3376:H3408">
    <cfRule type="expression" dxfId="4" priority="210">
      <formula>AND(NOT(HasFormula(#REF!)),#REF!&lt;&gt;"")</formula>
    </cfRule>
    <cfRule type="expression" dxfId="3" priority="211">
      <formula>AND(NOT(HasFormula(XFD3376)),XFD3376&lt;&gt;"")</formula>
    </cfRule>
  </conditionalFormatting>
  <conditionalFormatting sqref="H3489:H3503">
    <cfRule type="expression" dxfId="4" priority="204">
      <formula>AND(NOT(HasFormula(#REF!)),#REF!&lt;&gt;"")</formula>
    </cfRule>
    <cfRule type="expression" dxfId="3" priority="205">
      <formula>AND(NOT(HasFormula(XFD3489)),XFD3489&lt;&gt;"")</formula>
    </cfRule>
  </conditionalFormatting>
  <conditionalFormatting sqref="H3504:H3509">
    <cfRule type="expression" dxfId="4" priority="200">
      <formula>AND(NOT(HasFormula(#REF!)),#REF!&lt;&gt;"")</formula>
    </cfRule>
    <cfRule type="expression" dxfId="3" priority="201">
      <formula>AND(NOT(HasFormula(XFD3504)),XFD3504&lt;&gt;"")</formula>
    </cfRule>
  </conditionalFormatting>
  <conditionalFormatting sqref="H3510:H3527">
    <cfRule type="expression" dxfId="4" priority="198">
      <formula>AND(NOT(HasFormula(#REF!)),#REF!&lt;&gt;"")</formula>
    </cfRule>
    <cfRule type="expression" dxfId="3" priority="199">
      <formula>AND(NOT(HasFormula(XFD3510)),XFD3510&lt;&gt;"")</formula>
    </cfRule>
  </conditionalFormatting>
  <conditionalFormatting sqref="H3540:H3541">
    <cfRule type="expression" dxfId="4" priority="8775">
      <formula>AND(NOT(HasFormula(D3542)),D3542&lt;&gt;"")</formula>
    </cfRule>
    <cfRule type="expression" dxfId="3" priority="8776">
      <formula>AND(NOT(HasFormula(XFD3540)),XFD3540&lt;&gt;"")</formula>
    </cfRule>
  </conditionalFormatting>
  <conditionalFormatting sqref="H3570:H3571">
    <cfRule type="expression" dxfId="3" priority="197">
      <formula>AND(NOT(HasFormula(XFD3570)),XFD3570&lt;&gt;"")</formula>
    </cfRule>
    <cfRule type="expression" dxfId="4" priority="196">
      <formula>AND(NOT(HasFormula(D3573)),D3573&lt;&gt;"")</formula>
    </cfRule>
  </conditionalFormatting>
  <conditionalFormatting sqref="H3572:H3580">
    <cfRule type="expression" dxfId="4" priority="194">
      <formula>AND(NOT(HasFormula(D3573)),D3573&lt;&gt;"")</formula>
    </cfRule>
    <cfRule type="expression" dxfId="3" priority="195">
      <formula>AND(NOT(HasFormula(XFD3572)),XFD3572&lt;&gt;"")</formula>
    </cfRule>
  </conditionalFormatting>
  <conditionalFormatting sqref="H3587:H3588">
    <cfRule type="expression" dxfId="3" priority="181">
      <formula>AND(NOT(HasFormula(XFD3587)),XFD3587&lt;&gt;"")</formula>
    </cfRule>
    <cfRule type="expression" dxfId="4" priority="180">
      <formula>AND(NOT(HasFormula(D3588)),D3588&lt;&gt;"")</formula>
    </cfRule>
  </conditionalFormatting>
  <conditionalFormatting sqref="H3590:H3593">
    <cfRule type="expression" dxfId="3" priority="179">
      <formula>AND(NOT(HasFormula(XFD3590)),XFD3590&lt;&gt;"")</formula>
    </cfRule>
    <cfRule type="expression" dxfId="4" priority="178">
      <formula>AND(NOT(HasFormula(D3591)),D3591&lt;&gt;"")</formula>
    </cfRule>
  </conditionalFormatting>
  <conditionalFormatting sqref="H3596:H3598">
    <cfRule type="expression" dxfId="3" priority="177">
      <formula>AND(NOT(HasFormula(XFD3596)),XFD3596&lt;&gt;"")</formula>
    </cfRule>
    <cfRule type="expression" dxfId="4" priority="176">
      <formula>AND(NOT(HasFormula(D3597)),D3597&lt;&gt;"")</formula>
    </cfRule>
  </conditionalFormatting>
  <conditionalFormatting sqref="H3599:H3602">
    <cfRule type="expression" dxfId="4" priority="192">
      <formula>AND(NOT(HasFormula(D3600)),D3600&lt;&gt;"")</formula>
    </cfRule>
    <cfRule type="expression" dxfId="3" priority="193">
      <formula>AND(NOT(HasFormula(XFD3599)),XFD3599&lt;&gt;"")</formula>
    </cfRule>
  </conditionalFormatting>
  <conditionalFormatting sqref="H3603:H3661">
    <cfRule type="expression" dxfId="3" priority="175">
      <formula>AND(NOT(HasFormula(XFD3603)),XFD3603&lt;&gt;"")</formula>
    </cfRule>
    <cfRule type="expression" dxfId="4" priority="174">
      <formula>AND(NOT(HasFormula(D3604)),D3604&lt;&gt;"")</formula>
    </cfRule>
  </conditionalFormatting>
  <conditionalFormatting sqref="H3669:H3716">
    <cfRule type="expression" dxfId="3" priority="173">
      <formula>AND(NOT(HasFormula(XFD3669)),XFD3669&lt;&gt;"")</formula>
    </cfRule>
    <cfRule type="expression" dxfId="4" priority="172">
      <formula>AND(NOT(HasFormula(D3670)),D3670&lt;&gt;"")</formula>
    </cfRule>
  </conditionalFormatting>
  <conditionalFormatting sqref="H3753:H3781">
    <cfRule type="expression" dxfId="3" priority="171">
      <formula>AND(NOT(HasFormula(XFD3753)),XFD3753&lt;&gt;"")</formula>
    </cfRule>
    <cfRule type="expression" dxfId="4" priority="170">
      <formula>AND(NOT(HasFormula(D3754)),D3754&lt;&gt;"")</formula>
    </cfRule>
  </conditionalFormatting>
  <conditionalFormatting sqref="H3852:H3854">
    <cfRule type="expression" dxfId="4" priority="8945">
      <formula>AND(NOT(HasFormula(D3854)),D3854&lt;&gt;"")</formula>
    </cfRule>
    <cfRule type="expression" dxfId="3" priority="8946">
      <formula>AND(NOT(HasFormula(XFD3852)),XFD3852&lt;&gt;"")</formula>
    </cfRule>
  </conditionalFormatting>
  <conditionalFormatting sqref="H3882:H3997">
    <cfRule type="expression" dxfId="3" priority="162">
      <formula>AND(NOT(HasFormula(XFD3882)),XFD3882&lt;&gt;"")</formula>
    </cfRule>
    <cfRule type="expression" dxfId="4" priority="161">
      <formula>AND(NOT(HasFormula(D3883)),D3883&lt;&gt;"")</formula>
    </cfRule>
  </conditionalFormatting>
  <conditionalFormatting sqref="H4067:H4086">
    <cfRule type="expression" dxfId="4" priority="146">
      <formula>AND(NOT(HasFormula(D4068)),D4068&lt;&gt;"")</formula>
    </cfRule>
    <cfRule type="expression" dxfId="3" priority="147">
      <formula>AND(NOT(HasFormula(XFD4067)),XFD4067&lt;&gt;"")</formula>
    </cfRule>
  </conditionalFormatting>
  <conditionalFormatting sqref="H4087:H4104">
    <cfRule type="expression" dxfId="4" priority="8975">
      <formula>AND(NOT(HasFormula(D4089)),D4089&lt;&gt;"")</formula>
    </cfRule>
    <cfRule type="expression" dxfId="3" priority="8976">
      <formula>AND(NOT(HasFormula(XFD4087)),XFD4087&lt;&gt;"")</formula>
    </cfRule>
  </conditionalFormatting>
  <conditionalFormatting sqref="H4156:H4158">
    <cfRule type="expression" dxfId="3" priority="103">
      <formula>AND(NOT(HasFormula(XFD4156)),XFD4156&lt;&gt;"")</formula>
    </cfRule>
    <cfRule type="expression" dxfId="4" priority="102">
      <formula>AND(NOT(HasFormula(D4157)),D4157&lt;&gt;"")</formula>
    </cfRule>
  </conditionalFormatting>
  <conditionalFormatting sqref="H4162:H4245">
    <cfRule type="expression" dxfId="3" priority="101">
      <formula>AND(NOT(HasFormula(XFD4162)),XFD4162&lt;&gt;"")</formula>
    </cfRule>
    <cfRule type="expression" dxfId="4" priority="100">
      <formula>AND(NOT(HasFormula(D4163)),D4163&lt;&gt;"")</formula>
    </cfRule>
  </conditionalFormatting>
  <conditionalFormatting sqref="H4402:H4403">
    <cfRule type="expression" dxfId="4" priority="98">
      <formula>AND(NOT(HasFormula(#REF!)),#REF!&lt;&gt;"")</formula>
    </cfRule>
    <cfRule type="expression" dxfId="3" priority="99">
      <formula>AND(NOT(HasFormula(XFD4402)),XFD4402&lt;&gt;"")</formula>
    </cfRule>
  </conditionalFormatting>
  <conditionalFormatting sqref="H4404:H4528">
    <cfRule type="expression" dxfId="3" priority="89">
      <formula>AND(NOT(HasFormula(XFD4404)),XFD4404&lt;&gt;"")</formula>
    </cfRule>
    <cfRule type="expression" dxfId="4" priority="88">
      <formula>AND(NOT(HasFormula(#REF!)),#REF!&lt;&gt;"")</formula>
    </cfRule>
  </conditionalFormatting>
  <conditionalFormatting sqref="H4547:H4601">
    <cfRule type="expression" dxfId="3" priority="85">
      <formula>AND(NOT(HasFormula(XFD4547)),XFD4547&lt;&gt;"")</formula>
    </cfRule>
    <cfRule type="expression" dxfId="4" priority="84">
      <formula>AND(NOT(HasFormula(D4548)),D4548&lt;&gt;"")</formula>
    </cfRule>
  </conditionalFormatting>
  <conditionalFormatting sqref="H4726:H4736">
    <cfRule type="expression" dxfId="4" priority="45">
      <formula>AND(NOT(HasFormula(#REF!)),#REF!&lt;&gt;"")</formula>
    </cfRule>
    <cfRule type="expression" dxfId="3" priority="46">
      <formula>AND(NOT(HasFormula(XFD4726)),XFD4726&lt;&gt;"")</formula>
    </cfRule>
  </conditionalFormatting>
  <conditionalFormatting sqref="H4885:H4886">
    <cfRule type="expression" dxfId="4" priority="16">
      <formula>AND(NOT(HasFormula(D4887)),D4887&lt;&gt;"")</formula>
    </cfRule>
    <cfRule type="expression" dxfId="3" priority="17">
      <formula>AND(NOT(HasFormula(XFD4885)),XFD4885&lt;&gt;"")</formula>
    </cfRule>
  </conditionalFormatting>
  <conditionalFormatting sqref="H4888:H4890">
    <cfRule type="expression" dxfId="4" priority="9175">
      <formula>AND(NOT(HasFormula(D4890)),D4890&lt;&gt;"")</formula>
    </cfRule>
    <cfRule type="expression" dxfId="3" priority="9176">
      <formula>AND(NOT(HasFormula(XFD4888)),XFD4888&lt;&gt;"")</formula>
    </cfRule>
  </conditionalFormatting>
  <conditionalFormatting sqref="H4907:H4937">
    <cfRule type="expression" dxfId="4" priority="14">
      <formula>AND(NOT(HasFormula(D4908)),D4908&lt;&gt;"")</formula>
    </cfRule>
    <cfRule type="expression" dxfId="3" priority="15">
      <formula>AND(NOT(HasFormula(XFD4907)),XFD4907&lt;&gt;"")</formula>
    </cfRule>
  </conditionalFormatting>
  <conditionalFormatting sqref="H5027:H5107">
    <cfRule type="expression" dxfId="4" priority="9218">
      <formula>AND(NOT(HasFormula(D5029)),D5029&lt;&gt;"")</formula>
    </cfRule>
    <cfRule type="expression" dxfId="3" priority="9219">
      <formula>AND(NOT(HasFormula(XFD5027)),XFD5027&lt;&gt;"")</formula>
    </cfRule>
  </conditionalFormatting>
  <conditionalFormatting sqref="H1047528:H1048576">
    <cfRule type="expression" dxfId="4" priority="7701">
      <formula>AND(NOT(HasFormula(D1)),D1&lt;&gt;"")</formula>
    </cfRule>
    <cfRule type="expression" dxfId="3" priority="7702">
      <formula>AND(NOT(HasFormula(XFD1047528)),XFD1047528&lt;&gt;"")</formula>
    </cfRule>
  </conditionalFormatting>
  <conditionalFormatting sqref="L880:L881">
    <cfRule type="containsText" dxfId="1" priority="1699" operator="between" text="送货车型9.6米">
      <formula>NOT(ISERROR(SEARCH("送货车型9.6米",L880)))</formula>
    </cfRule>
  </conditionalFormatting>
  <conditionalFormatting sqref="L917:L918">
    <cfRule type="containsText" dxfId="1" priority="1694" operator="between" text="送货车型9.6米">
      <formula>NOT(ISERROR(SEARCH("送货车型9.6米",L917)))</formula>
    </cfRule>
  </conditionalFormatting>
  <conditionalFormatting sqref="L968:L969">
    <cfRule type="containsText" dxfId="1" priority="1599" operator="between" text="送货车型9.6米">
      <formula>NOT(ISERROR(SEARCH("送货车型9.6米",L968)))</formula>
    </cfRule>
  </conditionalFormatting>
  <conditionalFormatting sqref="L1000:L1002">
    <cfRule type="containsText" dxfId="1" priority="1376" operator="between" text="送货车型9.6米">
      <formula>NOT(ISERROR(SEARCH("送货车型9.6米",L1000)))</formula>
    </cfRule>
  </conditionalFormatting>
  <conditionalFormatting sqref="L1069:L1137">
    <cfRule type="containsText" dxfId="1" priority="1188" operator="between" text="送货车型9.6米">
      <formula>NOT(ISERROR(SEARCH("送货车型9.6米",L1069)))</formula>
    </cfRule>
  </conditionalFormatting>
  <conditionalFormatting sqref="M887:M904">
    <cfRule type="containsText" dxfId="1" priority="1709" operator="between" text="送货车型9.6米">
      <formula>NOT(ISERROR(SEARCH("送货车型9.6米",M887)))</formula>
    </cfRule>
  </conditionalFormatting>
  <conditionalFormatting sqref="M1599:M1601">
    <cfRule type="containsText" dxfId="1" priority="927" operator="between" text="送货车型9.6米">
      <formula>NOT(ISERROR(SEARCH("送货车型9.6米",M1599)))</formula>
    </cfRule>
  </conditionalFormatting>
  <conditionalFormatting sqref="M1636:M1637">
    <cfRule type="containsText" dxfId="1" priority="890" operator="between" text="送货车型9.6米">
      <formula>NOT(ISERROR(SEARCH("送货车型9.6米",M1636)))</formula>
    </cfRule>
  </conditionalFormatting>
  <conditionalFormatting sqref="M1638:M1643">
    <cfRule type="containsText" dxfId="1" priority="889" operator="between" text="送货车型9.6米">
      <formula>NOT(ISERROR(SEARCH("送货车型9.6米",M1638)))</formula>
    </cfRule>
  </conditionalFormatting>
  <conditionalFormatting sqref="M1644:M1645">
    <cfRule type="containsText" dxfId="1" priority="888" operator="between" text="送货车型9.6米">
      <formula>NOT(ISERROR(SEARCH("送货车型9.6米",M1644)))</formula>
    </cfRule>
  </conditionalFormatting>
  <conditionalFormatting sqref="M1646:M1649">
    <cfRule type="containsText" dxfId="1" priority="887" operator="between" text="送货车型9.6米">
      <formula>NOT(ISERROR(SEARCH("送货车型9.6米",M1646)))</formula>
    </cfRule>
  </conditionalFormatting>
  <conditionalFormatting sqref="M1665:M1685">
    <cfRule type="containsText" dxfId="1" priority="856" operator="between" text="送货车型9.6米">
      <formula>NOT(ISERROR(SEARCH("送货车型9.6米",M1665)))</formula>
    </cfRule>
  </conditionalFormatting>
  <conditionalFormatting sqref="M1871:M1880">
    <cfRule type="containsText" dxfId="1" priority="824" operator="between" text="送货车型9.6米">
      <formula>NOT(ISERROR(SEARCH("送货车型9.6米",M1871)))</formula>
    </cfRule>
  </conditionalFormatting>
  <conditionalFormatting sqref="M1883:M1899">
    <cfRule type="containsText" dxfId="1" priority="825" operator="between" text="送货车型9.6米">
      <formula>NOT(ISERROR(SEARCH("送货车型9.6米",M1883)))</formula>
    </cfRule>
  </conditionalFormatting>
  <conditionalFormatting sqref="M1908:M1925">
    <cfRule type="containsText" dxfId="1" priority="748" operator="between" text="送货车型9.6米">
      <formula>NOT(ISERROR(SEARCH("送货车型9.6米",M1908)))</formula>
    </cfRule>
  </conditionalFormatting>
  <conditionalFormatting sqref="M1936:M1939">
    <cfRule type="containsText" dxfId="1" priority="717" operator="between" text="送货车型9.6米">
      <formula>NOT(ISERROR(SEARCH("送货车型9.6米",M1936)))</formula>
    </cfRule>
  </conditionalFormatting>
  <conditionalFormatting sqref="M1967:M1986">
    <cfRule type="containsText" dxfId="1" priority="715" operator="between" text="送货车型9.6米">
      <formula>NOT(ISERROR(SEARCH("送货车型9.6米",M1967)))</formula>
    </cfRule>
  </conditionalFormatting>
  <conditionalFormatting sqref="M2234:M2237">
    <cfRule type="containsText" dxfId="1" priority="614" operator="between" text="送货车型9.6米">
      <formula>NOT(ISERROR(SEARCH("送货车型9.6米",M2234)))</formula>
    </cfRule>
  </conditionalFormatting>
  <conditionalFormatting sqref="M2239:M2246">
    <cfRule type="containsText" dxfId="1" priority="613" operator="between" text="送货车型9.6米">
      <formula>NOT(ISERROR(SEARCH("送货车型9.6米",M2239)))</formula>
    </cfRule>
  </conditionalFormatting>
  <conditionalFormatting sqref="M2271:M2277">
    <cfRule type="containsText" dxfId="1" priority="599" operator="between" text="送货车型9.6米">
      <formula>NOT(ISERROR(SEARCH("送货车型9.6米",M2271)))</formula>
    </cfRule>
  </conditionalFormatting>
  <conditionalFormatting sqref="M2300:M2305">
    <cfRule type="containsText" dxfId="1" priority="593" operator="between" text="送货车型9.6米">
      <formula>NOT(ISERROR(SEARCH("送货车型9.6米",M2300)))</formula>
    </cfRule>
  </conditionalFormatting>
  <conditionalFormatting sqref="M2306:M2337">
    <cfRule type="containsText" dxfId="1" priority="576" operator="between" text="送货车型9.6米">
      <formula>NOT(ISERROR(SEARCH("送货车型9.6米",M2306)))</formula>
    </cfRule>
  </conditionalFormatting>
  <conditionalFormatting sqref="M2338:M2342">
    <cfRule type="containsText" dxfId="1" priority="563" operator="between" text="送货车型9.6米">
      <formula>NOT(ISERROR(SEARCH("送货车型9.6米",M2338)))</formula>
    </cfRule>
  </conditionalFormatting>
  <conditionalFormatting sqref="M2343:M2348">
    <cfRule type="containsText" dxfId="1" priority="561" operator="between" text="送货车型9.6米">
      <formula>NOT(ISERROR(SEARCH("送货车型9.6米",M2343)))</formula>
    </cfRule>
  </conditionalFormatting>
  <conditionalFormatting sqref="M2360:M2428">
    <cfRule type="containsText" dxfId="1" priority="533" operator="between" text="送货车型9.6米">
      <formula>NOT(ISERROR(SEARCH("送货车型9.6米",M2360)))</formula>
    </cfRule>
  </conditionalFormatting>
  <conditionalFormatting sqref="M3043:M3048">
    <cfRule type="containsText" dxfId="1" priority="311" operator="between" text="送货车型9.6米">
      <formula>NOT(ISERROR(SEARCH("送货车型9.6米",M3043)))</formula>
    </cfRule>
  </conditionalFormatting>
  <conditionalFormatting sqref="M3052:M3053">
    <cfRule type="containsText" dxfId="1" priority="310" operator="between" text="送货车型9.6米">
      <formula>NOT(ISERROR(SEARCH("送货车型9.6米",M3052)))</formula>
    </cfRule>
  </conditionalFormatting>
  <conditionalFormatting sqref="M3090:M3096">
    <cfRule type="containsText" dxfId="1" priority="279" operator="between" text="送货车型9.6米">
      <formula>NOT(ISERROR(SEARCH("送货车型9.6米",M3090)))</formula>
    </cfRule>
  </conditionalFormatting>
  <conditionalFormatting sqref="M5036:M5041">
    <cfRule type="containsText" dxfId="1" priority="6" operator="between" text="送货车型9.6米">
      <formula>NOT(ISERROR(SEARCH("送货车型9.6米",M5036)))</formula>
    </cfRule>
  </conditionalFormatting>
  <conditionalFormatting sqref="M5042:M5057">
    <cfRule type="containsText" dxfId="1" priority="4" operator="between" text="送货车型9.6米">
      <formula>NOT(ISERROR(SEARCH("送货车型9.6米",M5042)))</formula>
    </cfRule>
  </conditionalFormatting>
  <conditionalFormatting sqref="M5058:M5069">
    <cfRule type="containsText" dxfId="1" priority="3" operator="between" text="送货车型9.6米">
      <formula>NOT(ISERROR(SEARCH("送货车型9.6米",M5058)))</formula>
    </cfRule>
  </conditionalFormatting>
  <conditionalFormatting sqref="M5089:M5092">
    <cfRule type="timePeriod" dxfId="7" priority="1" timePeriod="yesterday">
      <formula>FLOOR(M5089,1)=TODAY()-1</formula>
    </cfRule>
  </conditionalFormatting>
  <conditionalFormatting sqref="N888:N904">
    <cfRule type="containsText" dxfId="1" priority="1721" operator="between" text="送货车型9.6米">
      <formula>NOT(ISERROR(SEARCH("送货车型9.6米",N888)))</formula>
    </cfRule>
  </conditionalFormatting>
  <conditionalFormatting sqref="O955:O996">
    <cfRule type="containsText" dxfId="1" priority="1386" operator="between" text="送货车型9.6米">
      <formula>NOT(ISERROR(SEARCH("送货车型9.6米",O955)))</formula>
    </cfRule>
  </conditionalFormatting>
  <conditionalFormatting sqref="P598:P692">
    <cfRule type="expression" dxfId="2" priority="1872">
      <formula>P598&gt;0</formula>
    </cfRule>
  </conditionalFormatting>
  <conditionalFormatting sqref="P751:P773">
    <cfRule type="expression" dxfId="2" priority="1772">
      <formula>P751&gt;0</formula>
    </cfRule>
  </conditionalFormatting>
  <conditionalFormatting sqref="P812:P1315">
    <cfRule type="expression" dxfId="2" priority="1075">
      <formula>P812&gt;0</formula>
    </cfRule>
  </conditionalFormatting>
  <conditionalFormatting sqref="P1402:P1524">
    <cfRule type="expression" dxfId="2" priority="1073">
      <formula>P1402&gt;0</formula>
    </cfRule>
  </conditionalFormatting>
  <conditionalFormatting sqref="C1:C1588 C1626:C1844 C1846:C1907 C1967:C2042 C2047:C2052 C2087:C2219 C2247:C2264 C2278:C2305 C2429:C2575 C2582:C2705 C2843:C2948 C3103:C3183 C3262:C3346 C3348:C4066 C4069:C4138 C4246:C4743 C4786:C4866 C4868:C4877 C4993:C5086 C5093:C1048576">
    <cfRule type="timePeriod" dxfId="7" priority="949" timePeriod="yesterday">
      <formula>FLOOR(C1,1)=TODAY()-1</formula>
    </cfRule>
  </conditionalFormatting>
  <conditionalFormatting sqref="D2:E1400 D1403:E1404 D1407:E1418 D1422:E1427 D1429:E1430 D1432:E1433 D1436:E1486 D1488:E1496 E1 I1:L1 H2:L1401 E1401">
    <cfRule type="expression" dxfId="4" priority="1079">
      <formula>AND(NOT(HasFormula(XFD2)),XFD2&lt;&gt;"")</formula>
    </cfRule>
  </conditionalFormatting>
  <conditionalFormatting sqref="E1 I1:L1 H2:L1401 D2:E1400 E1401 D1403:E1404 D1407:E1418 D1422:E1427 D1429:E1430 D1432:E1433 D1436:E1486 D1488:E1496">
    <cfRule type="expression" dxfId="3" priority="1080">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49"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3">
      <formula>AND(NOT(_xlfn.ISFORMULA(D2)),D2&lt;&gt;"")</formula>
    </cfRule>
  </conditionalFormatting>
  <conditionalFormatting sqref="L13:O14">
    <cfRule type="containsText" dxfId="1" priority="1989" operator="between" text="送货车型9.6米">
      <formula>NOT(ISERROR(SEARCH("送货车型9.6米",L13)))</formula>
    </cfRule>
  </conditionalFormatting>
  <conditionalFormatting sqref="L18:O18 L21:O21 L23:O23">
    <cfRule type="containsText" dxfId="1" priority="1988" operator="between" text="送货车型9.6米">
      <formula>NOT(ISERROR(SEARCH("送货车型9.6米",L18)))</formula>
    </cfRule>
  </conditionalFormatting>
  <conditionalFormatting sqref="L27:O28">
    <cfRule type="containsText" dxfId="1" priority="1985" operator="between" text="送货车型9.6米">
      <formula>NOT(ISERROR(SEARCH("送货车型9.6米",L27)))</formula>
    </cfRule>
  </conditionalFormatting>
  <conditionalFormatting sqref="L174:O176">
    <cfRule type="containsText" dxfId="1" priority="1966" operator="between" text="送货车型9.6米">
      <formula>NOT(ISERROR(SEARCH("送货车型9.6米",L174)))</formula>
    </cfRule>
  </conditionalFormatting>
  <conditionalFormatting sqref="L185:O188">
    <cfRule type="containsText" dxfId="1" priority="1963" operator="between" text="送货车型9.6米">
      <formula>NOT(ISERROR(SEARCH("送货车型9.6米",L185)))</formula>
    </cfRule>
  </conditionalFormatting>
  <conditionalFormatting sqref="L200:O201">
    <cfRule type="containsText" dxfId="1" priority="1960" operator="between" text="送货车型9.6米">
      <formula>NOT(ISERROR(SEARCH("送货车型9.6米",L200)))</formula>
    </cfRule>
  </conditionalFormatting>
  <conditionalFormatting sqref="M318:O335">
    <cfRule type="containsText" dxfId="1" priority="1928" operator="between" text="送货车型9.6米">
      <formula>NOT(ISERROR(SEARCH("送货车型9.6米",M318)))</formula>
    </cfRule>
  </conditionalFormatting>
  <conditionalFormatting sqref="M351:O382">
    <cfRule type="containsText" dxfId="1" priority="1893" operator="between" text="送货车型9.6米">
      <formula>NOT(ISERROR(SEARCH("送货车型9.6米",M351)))</formula>
    </cfRule>
  </conditionalFormatting>
  <conditionalFormatting sqref="M391:O397">
    <cfRule type="containsText" dxfId="1" priority="1887"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2" operator="between" text="12m">
      <formula>NOT(ISERROR(SEARCH("12m",F613)))</formula>
    </cfRule>
    <cfRule type="containsText" dxfId="5" priority="1103" operator="between" text="HRB500E">
      <formula>NOT(ISERROR(SEARCH("HRB500E",F613)))</formula>
    </cfRule>
  </conditionalFormatting>
  <conditionalFormatting sqref="M689:O696">
    <cfRule type="containsText" dxfId="1" priority="1868" operator="between" text="送货车型9.6米">
      <formula>NOT(ISERROR(SEARCH("送货车型9.6米",M689)))</formula>
    </cfRule>
  </conditionalFormatting>
  <conditionalFormatting sqref="M700:O717">
    <cfRule type="containsText" dxfId="1" priority="1861" operator="between" text="送货车型9.6米">
      <formula>NOT(ISERROR(SEARCH("送货车型9.6米",M700)))</formula>
    </cfRule>
  </conditionalFormatting>
  <conditionalFormatting sqref="M719:O758">
    <cfRule type="containsText" dxfId="1" priority="1793" operator="between" text="送货车型9.6米">
      <formula>NOT(ISERROR(SEARCH("送货车型9.6米",M719)))</formula>
    </cfRule>
  </conditionalFormatting>
  <conditionalFormatting sqref="M787:O800 O801:O803">
    <cfRule type="containsText" dxfId="1" priority="1785" operator="between" text="送货车型9.6米">
      <formula>NOT(ISERROR(SEARCH("送货车型9.6米",M787)))</formula>
    </cfRule>
  </conditionalFormatting>
  <conditionalFormatting sqref="M801:N802">
    <cfRule type="containsText" dxfId="1" priority="1782" operator="between" text="送货车型9.6米">
      <formula>NOT(ISERROR(SEARCH("送货车型9.6米",M801)))</formula>
    </cfRule>
  </conditionalFormatting>
  <conditionalFormatting sqref="M804:O811">
    <cfRule type="containsText" dxfId="1" priority="1780" operator="between" text="送货车型9.6米">
      <formula>NOT(ISERROR(SEARCH("送货车型9.6米",M804)))</formula>
    </cfRule>
  </conditionalFormatting>
  <conditionalFormatting sqref="M819:O833">
    <cfRule type="containsText" dxfId="1" priority="1762" operator="between" text="送货车型9.6米">
      <formula>NOT(ISERROR(SEARCH("送货车型9.6米",M819)))</formula>
    </cfRule>
  </conditionalFormatting>
  <conditionalFormatting sqref="M845:O855">
    <cfRule type="containsText" dxfId="1" priority="1750" operator="between" text="送货车型9.6米">
      <formula>NOT(ISERROR(SEARCH("送货车型9.6米",M845)))</formula>
    </cfRule>
  </conditionalFormatting>
  <conditionalFormatting sqref="L856:O857">
    <cfRule type="containsText" dxfId="1" priority="1754" operator="between" text="送货车型9.6米">
      <formula>NOT(ISERROR(SEARCH("送货车型9.6米",L856)))</formula>
    </cfRule>
  </conditionalFormatting>
  <conditionalFormatting sqref="M955:N994">
    <cfRule type="containsText" dxfId="1" priority="1686" operator="between" text="送货车型9.6米">
      <formula>NOT(ISERROR(SEARCH("送货车型9.6米",M955)))</formula>
    </cfRule>
  </conditionalFormatting>
  <conditionalFormatting sqref="L995:N996">
    <cfRule type="containsText" dxfId="1" priority="1387" operator="between" text="送货车型9.6米">
      <formula>NOT(ISERROR(SEARCH("送货车型9.6米",L995)))</formula>
    </cfRule>
  </conditionalFormatting>
  <conditionalFormatting sqref="M999:O1019">
    <cfRule type="containsText" dxfId="1" priority="1375" operator="between" text="送货车型9.6米">
      <formula>NOT(ISERROR(SEARCH("送货车型9.6米",M999)))</formula>
    </cfRule>
  </conditionalFormatting>
  <conditionalFormatting sqref="M1024:O1137">
    <cfRule type="containsText" dxfId="1" priority="1100" operator="between" text="送货车型9.6米">
      <formula>NOT(ISERROR(SEARCH("送货车型9.6米",M1024)))</formula>
    </cfRule>
  </conditionalFormatting>
  <conditionalFormatting sqref="L1138:O1503">
    <cfRule type="containsText" dxfId="1" priority="940" operator="between" text="送货车型9.6米">
      <formula>NOT(ISERROR(SEARCH("送货车型9.6米",L1138)))</formula>
    </cfRule>
  </conditionalFormatting>
  <conditionalFormatting sqref="E1402 H1402:L1402">
    <cfRule type="expression" dxfId="4" priority="7719">
      <formula>AND(NOT(HasFormula(#REF!)),#REF!&lt;&gt;"")</formula>
    </cfRule>
    <cfRule type="expression" dxfId="3" priority="7720">
      <formula>AND(NOT(HasFormula(XFA1402)),XFA1402&lt;&gt;"")</formula>
    </cfRule>
  </conditionalFormatting>
  <conditionalFormatting sqref="H1403:L1404 H1407:L1418 E1420 H1420:L1420">
    <cfRule type="expression" dxfId="4" priority="7697">
      <formula>AND(NOT(HasFormula(A1404)),A1404&lt;&gt;"")</formula>
    </cfRule>
    <cfRule type="expression" dxfId="3" priority="7698">
      <formula>AND(NOT(HasFormula(XFA1403)),XFA1403&lt;&gt;"")</formula>
    </cfRule>
  </conditionalFormatting>
  <conditionalFormatting sqref="D1405:E1406">
    <cfRule type="expression" dxfId="4" priority="7723">
      <formula>AND(NOT(HasFormula(XFD1407)),XFD1407&lt;&gt;"")</formula>
    </cfRule>
    <cfRule type="expression" dxfId="3" priority="7724">
      <formula>AND(NOT(HasFormula(XEZ1405)),XEZ1405&lt;&gt;"")</formula>
    </cfRule>
  </conditionalFormatting>
  <conditionalFormatting sqref="H1405:L1406">
    <cfRule type="expression" dxfId="3" priority="7726">
      <formula>AND(NOT(HasFormula(XFD1405)),XFD1405&lt;&gt;"")</formula>
    </cfRule>
    <cfRule type="expression" dxfId="4" priority="7725">
      <formula>AND(NOT(HasFormula(D1407)),D1407&lt;&gt;"")</formula>
    </cfRule>
  </conditionalFormatting>
  <conditionalFormatting sqref="E1421 H1421:L1421">
    <cfRule type="expression" dxfId="3" priority="7676">
      <formula>AND(NOT(HasFormula(XFA1421)),XFA1421&lt;&gt;"")</formula>
    </cfRule>
    <cfRule type="expression" dxfId="4" priority="7675">
      <formula>AND(NOT(HasFormula(A1429)),A1429&lt;&gt;"")</formula>
    </cfRule>
  </conditionalFormatting>
  <conditionalFormatting sqref="H1422:L1427 H1432:L1433">
    <cfRule type="expression" dxfId="3" priority="7670">
      <formula>AND(NOT(HasFormula(XFD1422)),XFD1422&lt;&gt;"")</formula>
    </cfRule>
    <cfRule type="expression" dxfId="4" priority="7669">
      <formula>AND(NOT(HasFormula(D1423)),D1423&lt;&gt;"")</formula>
    </cfRule>
  </conditionalFormatting>
  <conditionalFormatting sqref="D1428:E1428 D1431:E1431">
    <cfRule type="expression" dxfId="3" priority="7682">
      <formula>AND(NOT(HasFormula(XEZ1428)),XEZ1428&lt;&gt;"")</formula>
    </cfRule>
    <cfRule type="expression" dxfId="4" priority="7681">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3:H5012 H5014:H5018 H5020:H5026 H5108:H1047527">
    <cfRule type="expression" dxfId="4" priority="7663">
      <formula>AND(NOT(HasFormula(D1430)),D1430&lt;&gt;"")</formula>
    </cfRule>
    <cfRule type="expression" dxfId="3" priority="7664">
      <formula>AND(NOT(HasFormula(XFD1429)),XFD1429&lt;&gt;"")</formula>
    </cfRule>
  </conditionalFormatting>
  <conditionalFormatting sqref="D1434:E1435">
    <cfRule type="expression" dxfId="3" priority="7672">
      <formula>AND(NOT(HasFormula(XEZ1434)),XEZ1434&lt;&gt;"")</formula>
    </cfRule>
    <cfRule type="expression" dxfId="4" priority="7671">
      <formula>AND(NOT(HasFormula(XFD1421)),XFD1421&lt;&gt;"")</formula>
    </cfRule>
  </conditionalFormatting>
  <conditionalFormatting sqref="H1434:L1435">
    <cfRule type="expression" dxfId="4" priority="7685">
      <formula>AND(NOT(HasFormula(D1429)),D1429&lt;&gt;"")</formula>
    </cfRule>
    <cfRule type="expression" dxfId="3" priority="7686">
      <formula>AND(NOT(HasFormula(XFD1434)),XFD1434&lt;&gt;"")</formula>
    </cfRule>
  </conditionalFormatting>
  <conditionalFormatting sqref="D1498:E1501">
    <cfRule type="expression" dxfId="4" priority="945">
      <formula>AND(NOT(HasFormula(XFD1499)),XFD1499&lt;&gt;"")</formula>
    </cfRule>
    <cfRule type="expression" dxfId="3" priority="947">
      <formula>AND(NOT(HasFormula(XEZ1498)),XEZ1498&lt;&gt;"")</formula>
    </cfRule>
  </conditionalFormatting>
  <conditionalFormatting sqref="H1498:L1501">
    <cfRule type="expression" dxfId="4" priority="957">
      <formula>AND(NOT(HasFormula(D1499)),D1499&lt;&gt;"")</formula>
    </cfRule>
    <cfRule type="expression" dxfId="3" priority="959">
      <formula>AND(NOT(HasFormula(XFD1498)),XFD1498&lt;&gt;"")</formula>
    </cfRule>
  </conditionalFormatting>
  <conditionalFormatting sqref="H1502:L1524">
    <cfRule type="expression" dxfId="3" priority="7744">
      <formula>AND(NOT(HasFormula(XFD1502)),XFD1502&lt;&gt;"")</formula>
    </cfRule>
    <cfRule type="expression" dxfId="4" priority="7743">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521">
    <cfRule type="expression" dxfId="3" priority="1005">
      <formula>AND(NOT(HasFormula(XEZ1504)),XEZ1504&lt;&gt;"")</formula>
    </cfRule>
  </conditionalFormatting>
  <conditionalFormatting sqref="D1506:E1512">
    <cfRule type="expression" dxfId="4" priority="998">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3:D5012 D5014:D5018 D5020:D5026 D5029:D5096 D5100:D5102 D5104:D1047521">
    <cfRule type="expression" dxfId="4" priority="988">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35 L5036:L5069 N5036:O5069 L5070:O5088 L5089:L5092 N5089:O5092 L5093:O1048576">
    <cfRule type="containsText" dxfId="1" priority="942"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3:E5012 E5014:E5018 E5020:E5026 E5029:E5096 E5100:E5102 E5104:E1047521">
    <cfRule type="expression" dxfId="4" priority="7762">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3:L5012 I5014:L5018 I5020:L5026 I5029:L5096 I5100:L5102 I5104:L1047527">
    <cfRule type="expression" dxfId="4" priority="7759">
      <formula>AND(NOT(HasFormula(E1565)),E1565&lt;&gt;"")</formula>
    </cfRule>
    <cfRule type="expression" dxfId="3" priority="7760">
      <formula>AND(NOT(HasFormula(A1564)),A1564&lt;&gt;"")</formula>
    </cfRule>
  </conditionalFormatting>
  <conditionalFormatting sqref="D1589:E1604">
    <cfRule type="expression" dxfId="3" priority="932">
      <formula>AND(NOT(HasFormula(XEZ1589)),XEZ1589&lt;&gt;"")</formula>
    </cfRule>
  </conditionalFormatting>
  <conditionalFormatting sqref="I1589:L1604">
    <cfRule type="expression" dxfId="3" priority="938">
      <formula>AND(NOT(HasFormula(A1589)),A1589&lt;&gt;"")</formula>
    </cfRule>
    <cfRule type="expression" dxfId="4" priority="937">
      <formula>AND(NOT(HasFormula(E1590)),E1590&lt;&gt;"")</formula>
    </cfRule>
  </conditionalFormatting>
  <conditionalFormatting sqref="L1589:O1598 L1599:L1604 O1599:O1625">
    <cfRule type="containsText" dxfId="1" priority="928" operator="between" text="送货车型9.6米">
      <formula>NOT(ISERROR(SEARCH("送货车型9.6米",L1589)))</formula>
    </cfRule>
  </conditionalFormatting>
  <conditionalFormatting sqref="D1625 D1629">
    <cfRule type="expression" dxfId="4" priority="7790">
      <formula>AND(NOT(HasFormula(#REF!)),#REF!&lt;&gt;"")</formula>
    </cfRule>
  </conditionalFormatting>
  <conditionalFormatting sqref="E1625 E1629">
    <cfRule type="expression" dxfId="4" priority="7791">
      <formula>AND(NOT(HasFormula(#REF!)),#REF!&lt;&gt;"")</formula>
    </cfRule>
  </conditionalFormatting>
  <conditionalFormatting sqref="H1625 H1629">
    <cfRule type="expression" dxfId="4" priority="7788">
      <formula>AND(NOT(HasFormula(#REF!)),#REF!&lt;&gt;"")</formula>
    </cfRule>
    <cfRule type="expression" dxfId="3" priority="7789">
      <formula>AND(NOT(HasFormula(XFD1625)),XFD1625&lt;&gt;"")</formula>
    </cfRule>
  </conditionalFormatting>
  <conditionalFormatting sqref="I1625:L1625 I1629:L1629">
    <cfRule type="expression" dxfId="4" priority="7792">
      <formula>AND(NOT(HasFormula(#REF!)),#REF!&lt;&gt;"")</formula>
    </cfRule>
    <cfRule type="expression" dxfId="3" priority="7793">
      <formula>AND(NOT(HasFormula(A1625)),A1625&lt;&gt;"")</formula>
    </cfRule>
  </conditionalFormatting>
  <conditionalFormatting sqref="D1630:D1649 D1651:D1676 D1686:D1700">
    <cfRule type="expression" dxfId="4" priority="7796">
      <formula>AND(NOT(HasFormula(#REF!)),#REF!&lt;&gt;"")</formula>
    </cfRule>
  </conditionalFormatting>
  <conditionalFormatting sqref="E1630:E1649 E1651:E1676 E1686:E1700">
    <cfRule type="expression" dxfId="4" priority="7797">
      <formula>AND(NOT(HasFormula(#REF!)),#REF!&lt;&gt;"")</formula>
    </cfRule>
  </conditionalFormatting>
  <conditionalFormatting sqref="H1630:H1649 H1651:H1700">
    <cfRule type="expression" dxfId="4" priority="7794">
      <formula>AND(NOT(HasFormula(#REF!)),#REF!&lt;&gt;"")</formula>
    </cfRule>
    <cfRule type="expression" dxfId="3" priority="7795">
      <formula>AND(NOT(HasFormula(XFD1630)),XFD1630&lt;&gt;"")</formula>
    </cfRule>
  </conditionalFormatting>
  <conditionalFormatting sqref="I1630:L1649 I1651:L1676 I1686:L1700">
    <cfRule type="expression" dxfId="4" priority="7798">
      <formula>AND(NOT(HasFormula(#REF!)),#REF!&lt;&gt;"")</formula>
    </cfRule>
    <cfRule type="expression" dxfId="3" priority="7799">
      <formula>AND(NOT(HasFormula(A1630)),A1630&lt;&gt;"")</formula>
    </cfRule>
  </conditionalFormatting>
  <conditionalFormatting sqref="M1635:O1635 O1636:O1649 O1651:O1664 O1686:O1700">
    <cfRule type="containsText" dxfId="1" priority="891" operator="between" text="送货车型9.6米">
      <formula>NOT(ISERROR(SEARCH("送货车型9.6米",M1635)))</formula>
    </cfRule>
  </conditionalFormatting>
  <conditionalFormatting sqref="I1702:L1706">
    <cfRule type="expression" dxfId="4" priority="7804">
      <formula>AND(NOT(HasFormula(#REF!)),#REF!&lt;&gt;"")</formula>
    </cfRule>
    <cfRule type="expression" dxfId="3" priority="7805">
      <formula>AND(NOT(HasFormula(A1702)),A1702&lt;&gt;"")</formula>
    </cfRule>
  </conditionalFormatting>
  <conditionalFormatting sqref="I1708:L1740">
    <cfRule type="expression" dxfId="4" priority="7810">
      <formula>AND(NOT(HasFormula(#REF!)),#REF!&lt;&gt;"")</formula>
    </cfRule>
    <cfRule type="expression" dxfId="3" priority="7811">
      <formula>AND(NOT(HasFormula(A1708)),A1708&lt;&gt;"")</formula>
    </cfRule>
  </conditionalFormatting>
  <conditionalFormatting sqref="D1758 D1761">
    <cfRule type="expression" dxfId="4" priority="7820">
      <formula>AND(NOT(HasFormula(#REF!)),#REF!&lt;&gt;"")</formula>
    </cfRule>
  </conditionalFormatting>
  <conditionalFormatting sqref="E1758 E1761">
    <cfRule type="expression" dxfId="4" priority="7821">
      <formula>AND(NOT(HasFormula(#REF!)),#REF!&lt;&gt;"")</formula>
    </cfRule>
  </conditionalFormatting>
  <conditionalFormatting sqref="I1758:L1758 I1761:L1761 L1762:L1769">
    <cfRule type="expression" dxfId="4" priority="7822">
      <formula>AND(NOT(HasFormula(#REF!)),#REF!&lt;&gt;"")</formula>
    </cfRule>
    <cfRule type="expression" dxfId="3" priority="7823">
      <formula>AND(NOT(HasFormula(A1758)),A1758&lt;&gt;"")</formula>
    </cfRule>
  </conditionalFormatting>
  <conditionalFormatting sqref="I1762:K1769">
    <cfRule type="expression" dxfId="4" priority="7816">
      <formula>AND(NOT(HasFormula(#REF!)),#REF!&lt;&gt;"")</formula>
    </cfRule>
    <cfRule type="expression" dxfId="3" priority="7817">
      <formula>AND(NOT(HasFormula(A1762)),A1762&lt;&gt;"")</formula>
    </cfRule>
  </conditionalFormatting>
  <conditionalFormatting sqref="D1881:E1882">
    <cfRule type="expression" dxfId="3" priority="830">
      <formula>AND(NOT(HasFormula(XEZ1881)),XEZ1881&lt;&gt;"")</formula>
    </cfRule>
  </conditionalFormatting>
  <conditionalFormatting sqref="I1881:L1882">
    <cfRule type="expression" dxfId="3" priority="836">
      <formula>AND(NOT(HasFormula(A1881)),A1881&lt;&gt;"")</formula>
    </cfRule>
    <cfRule type="expression" dxfId="4" priority="835">
      <formula>AND(NOT(HasFormula(E1882)),E1882&lt;&gt;"")</formula>
    </cfRule>
  </conditionalFormatting>
  <conditionalFormatting sqref="L1881:O1882">
    <cfRule type="containsText" dxfId="1" priority="826" operator="between" text="送货车型9.6米">
      <formula>NOT(ISERROR(SEARCH("送货车型9.6米",L1881)))</formula>
    </cfRule>
  </conditionalFormatting>
  <conditionalFormatting sqref="C1908:C1935 C1940:C1961">
    <cfRule type="timePeriod" dxfId="7" priority="782" timePeriod="yesterday">
      <formula>FLOOR(C1908,1)=TODAY()-1</formula>
    </cfRule>
  </conditionalFormatting>
  <conditionalFormatting sqref="L1908 N1908:O1908">
    <cfRule type="containsText" dxfId="1" priority="759" operator="between" text="送货车型9.6米">
      <formula>NOT(ISERROR(SEARCH("送货车型9.6米",L1908)))</formula>
    </cfRule>
  </conditionalFormatting>
  <conditionalFormatting sqref="L1909 N1909:O1909">
    <cfRule type="containsText" dxfId="1" priority="758" operator="between" text="送货车型9.6米">
      <formula>NOT(ISERROR(SEARCH("送货车型9.6米",L1909)))</formula>
    </cfRule>
  </conditionalFormatting>
  <conditionalFormatting sqref="L1910 N1910:O1910">
    <cfRule type="containsText" dxfId="1" priority="757" operator="between" text="送货车型9.6米">
      <formula>NOT(ISERROR(SEARCH("送货车型9.6米",L1910)))</formula>
    </cfRule>
  </conditionalFormatting>
  <conditionalFormatting sqref="L1911 N1911:O1911">
    <cfRule type="containsText" dxfId="1" priority="756" operator="between" text="送货车型9.6米">
      <formula>NOT(ISERROR(SEARCH("送货车型9.6米",L1911)))</formula>
    </cfRule>
  </conditionalFormatting>
  <conditionalFormatting sqref="L1912 N1912:O1912">
    <cfRule type="containsText" dxfId="1" priority="755" operator="between" text="送货车型9.6米">
      <formula>NOT(ISERROR(SEARCH("送货车型9.6米",L1912)))</formula>
    </cfRule>
  </conditionalFormatting>
  <conditionalFormatting sqref="L1913 N1913:O1913">
    <cfRule type="containsText" dxfId="1" priority="754" operator="between" text="送货车型9.6米">
      <formula>NOT(ISERROR(SEARCH("送货车型9.6米",L1913)))</formula>
    </cfRule>
  </conditionalFormatting>
  <conditionalFormatting sqref="L1914 N1914:O1914">
    <cfRule type="containsText" dxfId="1" priority="753" operator="between" text="送货车型9.6米">
      <formula>NOT(ISERROR(SEARCH("送货车型9.6米",L1914)))</formula>
    </cfRule>
  </conditionalFormatting>
  <conditionalFormatting sqref="L1915 N1915:O1915">
    <cfRule type="containsText" dxfId="1" priority="752" operator="between" text="送货车型9.6米">
      <formula>NOT(ISERROR(SEARCH("送货车型9.6米",L1915)))</formula>
    </cfRule>
  </conditionalFormatting>
  <conditionalFormatting sqref="L1916 N1916:O1916">
    <cfRule type="containsText" dxfId="1" priority="751" operator="between" text="送货车型9.6米">
      <formula>NOT(ISERROR(SEARCH("送货车型9.6米",L1916)))</formula>
    </cfRule>
  </conditionalFormatting>
  <conditionalFormatting sqref="L1917 N1917:O1917">
    <cfRule type="containsText" dxfId="1" priority="750" operator="between" text="送货车型9.6米">
      <formula>NOT(ISERROR(SEARCH("送货车型9.6米",L1917)))</formula>
    </cfRule>
  </conditionalFormatting>
  <conditionalFormatting sqref="L1918 N1918:O1918">
    <cfRule type="containsText" dxfId="1" priority="749" operator="between" text="送货车型9.6米">
      <formula>NOT(ISERROR(SEARCH("送货车型9.6米",L1918)))</formula>
    </cfRule>
  </conditionalFormatting>
  <conditionalFormatting sqref="D1919:D1935 D1940:D1961">
    <cfRule type="expression" dxfId="2" priority="785">
      <formula>AND(NOT(_xlfn.ISFORMULA(D1919)),D1919&lt;&gt;"")</formula>
    </cfRule>
  </conditionalFormatting>
  <conditionalFormatting sqref="D1919:E1935 D1940:E1961">
    <cfRule type="expression" dxfId="3" priority="788">
      <formula>AND(NOT(HasFormula(XEZ1919)),XEZ1919&lt;&gt;"")</formula>
    </cfRule>
  </conditionalFormatting>
  <conditionalFormatting sqref="J1919:L1921 I1922:L1924">
    <cfRule type="expression" dxfId="3" priority="794">
      <formula>AND(NOT(HasFormula(A1919)),A1919&lt;&gt;"")</formula>
    </cfRule>
    <cfRule type="expression" dxfId="4" priority="793">
      <formula>AND(NOT(HasFormula(E1920)),E1920&lt;&gt;"")</formula>
    </cfRule>
  </conditionalFormatting>
  <conditionalFormatting sqref="L1919:L1961 N1919:O1935 O1936:O1986 N1940:N1966">
    <cfRule type="containsText" dxfId="1" priority="784" operator="between" text="送货车型9.6米">
      <formula>NOT(ISERROR(SEARCH("送货车型9.6米",L1919)))</formula>
    </cfRule>
  </conditionalFormatting>
  <conditionalFormatting sqref="D1925:D1935 D1940:D1961">
    <cfRule type="expression" dxfId="4" priority="798">
      <formula>AND(NOT(HasFormula(#REF!)),#REF!&lt;&gt;"")</formula>
    </cfRule>
  </conditionalFormatting>
  <conditionalFormatting sqref="E1925:E1935 E1940:E1961">
    <cfRule type="expression" dxfId="4" priority="799">
      <formula>AND(NOT(HasFormula(#REF!)),#REF!&lt;&gt;"")</formula>
    </cfRule>
  </conditionalFormatting>
  <conditionalFormatting sqref="I1925:L1961">
    <cfRule type="expression" dxfId="3" priority="801">
      <formula>AND(NOT(HasFormula(A1925)),A1925&lt;&gt;"")</formula>
    </cfRule>
    <cfRule type="expression" dxfId="4" priority="800">
      <formula>AND(NOT(HasFormula(#REF!)),#REF!&lt;&gt;"")</formula>
    </cfRule>
  </conditionalFormatting>
  <conditionalFormatting sqref="M1926:M1935 M1940:M1966">
    <cfRule type="containsText" dxfId="1" priority="783" operator="between" text="送货车型9.6米">
      <formula>NOT(ISERROR(SEARCH("送货车型9.6米",M1926)))</formula>
    </cfRule>
  </conditionalFormatting>
  <conditionalFormatting sqref="I2053:L2054">
    <cfRule type="expression" dxfId="4" priority="7858">
      <formula>AND(NOT(HasFormula(#REF!)),#REF!&lt;&gt;"")</formula>
    </cfRule>
    <cfRule type="expression" dxfId="3" priority="7859">
      <formula>AND(NOT(HasFormula(A2053)),A2053&lt;&gt;"")</formula>
    </cfRule>
  </conditionalFormatting>
  <conditionalFormatting sqref="I2056:L2057">
    <cfRule type="expression" dxfId="4" priority="7864">
      <formula>AND(NOT(HasFormula(#REF!)),#REF!&lt;&gt;"")</formula>
    </cfRule>
    <cfRule type="expression" dxfId="3" priority="7865">
      <formula>AND(NOT(HasFormula(A2056)),A2056&lt;&gt;"")</formula>
    </cfRule>
  </conditionalFormatting>
  <conditionalFormatting sqref="D2058:E2086">
    <cfRule type="expression" dxfId="3" priority="709">
      <formula>AND(NOT(HasFormula(XEZ2058)),XEZ2058&lt;&gt;"")</formula>
    </cfRule>
  </conditionalFormatting>
  <conditionalFormatting sqref="I2090:L2108">
    <cfRule type="expression" dxfId="4" priority="7881">
      <formula>AND(NOT(HasFormula(#REF!)),#REF!&lt;&gt;"")</formula>
    </cfRule>
    <cfRule type="expression" dxfId="3" priority="7882">
      <formula>AND(NOT(HasFormula(A2090)),A2090&lt;&gt;"")</formula>
    </cfRule>
  </conditionalFormatting>
  <conditionalFormatting sqref="I2110:L2111">
    <cfRule type="expression" dxfId="4" priority="7887">
      <formula>AND(NOT(HasFormula(E2119)),E2119&lt;&gt;"")</formula>
    </cfRule>
    <cfRule type="expression" dxfId="3" priority="7888">
      <formula>AND(NOT(HasFormula(A2110)),A2110&lt;&gt;"")</formula>
    </cfRule>
  </conditionalFormatting>
  <conditionalFormatting sqref="I2112:L2118">
    <cfRule type="expression" dxfId="4" priority="7899">
      <formula>AND(NOT(HasFormula(E2129)),E2129&lt;&gt;"")</formula>
    </cfRule>
    <cfRule type="expression" dxfId="3" priority="7900">
      <formula>AND(NOT(HasFormula(A2112)),A2112&lt;&gt;"")</formula>
    </cfRule>
  </conditionalFormatting>
  <conditionalFormatting sqref="I2120:L2126">
    <cfRule type="expression" dxfId="4" priority="7905">
      <formula>AND(NOT(HasFormula(E2129)),E2129&lt;&gt;"")</formula>
    </cfRule>
    <cfRule type="expression" dxfId="3" priority="7906">
      <formula>AND(NOT(HasFormula(A2120)),A2120&lt;&gt;"")</formula>
    </cfRule>
  </conditionalFormatting>
  <conditionalFormatting sqref="M2120:O2128">
    <cfRule type="containsText" dxfId="1" priority="684" operator="between" text="送货车型9.6米">
      <formula>NOT(ISERROR(SEARCH("送货车型9.6米",M2120)))</formula>
    </cfRule>
  </conditionalFormatting>
  <conditionalFormatting sqref="I2127:L2128">
    <cfRule type="expression" dxfId="4" priority="7917">
      <formula>AND(NOT(HasFormula(#REF!)),#REF!&lt;&gt;"")</formula>
    </cfRule>
    <cfRule type="expression" dxfId="3" priority="7918">
      <formula>AND(NOT(HasFormula(A2127)),A2127&lt;&gt;"")</formula>
    </cfRule>
  </conditionalFormatting>
  <conditionalFormatting sqref="I2138:L2139">
    <cfRule type="expression" dxfId="4" priority="7923">
      <formula>AND(NOT(HasFormula(#REF!)),#REF!&lt;&gt;"")</formula>
    </cfRule>
    <cfRule type="expression" dxfId="3" priority="7924">
      <formula>AND(NOT(HasFormula(A2138)),A2138&lt;&gt;"")</formula>
    </cfRule>
  </conditionalFormatting>
  <conditionalFormatting sqref="I2165:L2166">
    <cfRule type="expression" dxfId="4" priority="7929">
      <formula>AND(NOT(HasFormula(#REF!)),#REF!&lt;&gt;"")</formula>
    </cfRule>
    <cfRule type="expression" dxfId="3" priority="7930">
      <formula>AND(NOT(HasFormula(A2165)),A2165&lt;&gt;"")</formula>
    </cfRule>
  </conditionalFormatting>
  <conditionalFormatting sqref="H2201:H2218 H2234:H2244 H2220:H2232">
    <cfRule type="expression" dxfId="4" priority="617">
      <formula>AND(NOT(HasFormula(D2202)),D2202&lt;&gt;"")</formula>
    </cfRule>
    <cfRule type="expression" dxfId="3" priority="618">
      <formula>AND(NOT(HasFormula(XFD2201)),XFD2201&lt;&gt;"")</formula>
    </cfRule>
  </conditionalFormatting>
  <conditionalFormatting sqref="H2219 H2233">
    <cfRule type="expression" dxfId="4" priority="8049">
      <formula>AND(NOT(HasFormula(#REF!)),#REF!&lt;&gt;"")</formula>
    </cfRule>
    <cfRule type="expression" dxfId="3" priority="8050">
      <formula>AND(NOT(HasFormula(XFD2219)),XFD2219&lt;&gt;"")</formula>
    </cfRule>
  </conditionalFormatting>
  <conditionalFormatting sqref="I2225:L2226">
    <cfRule type="expression" dxfId="4" priority="8047">
      <formula>AND(NOT(HasFormula(E2227)),E2227&lt;&gt;"")</formula>
    </cfRule>
    <cfRule type="expression" dxfId="3" priority="8048">
      <formula>AND(NOT(HasFormula(A2225)),A2225&lt;&gt;"")</formula>
    </cfRule>
  </conditionalFormatting>
  <conditionalFormatting sqref="D2234:E2237">
    <cfRule type="expression" dxfId="3" priority="624">
      <formula>AND(NOT(HasFormula(XEZ2234)),XEZ2234&lt;&gt;"")</formula>
    </cfRule>
  </conditionalFormatting>
  <conditionalFormatting sqref="I2234:L2237">
    <cfRule type="expression" dxfId="4" priority="629">
      <formula>AND(NOT(HasFormula(E2235)),E2235&lt;&gt;"")</formula>
    </cfRule>
    <cfRule type="expression" dxfId="3" priority="630">
      <formula>AND(NOT(HasFormula(A2234)),A2234&lt;&gt;"")</formula>
    </cfRule>
  </conditionalFormatting>
  <conditionalFormatting sqref="L2234:L2237 N2234:O2237">
    <cfRule type="containsText" dxfId="1" priority="620" operator="between" text="送货车型9.6米">
      <formula>NOT(ISERROR(SEARCH("送货车型9.6米",L2234)))</formula>
    </cfRule>
  </conditionalFormatting>
  <conditionalFormatting sqref="I2247:L2249">
    <cfRule type="expression" dxfId="4" priority="8059">
      <formula>AND(NOT(HasFormula(E2252)),E2252&lt;&gt;"")</formula>
    </cfRule>
    <cfRule type="expression" dxfId="3" priority="8060">
      <formula>AND(NOT(HasFormula(A2247)),A2247&lt;&gt;"")</formula>
    </cfRule>
  </conditionalFormatting>
  <conditionalFormatting sqref="D2270:E2277">
    <cfRule type="expression" dxfId="3" priority="607">
      <formula>AND(NOT(HasFormula(XEZ2270)),XEZ2270&lt;&gt;"")</formula>
    </cfRule>
  </conditionalFormatting>
  <conditionalFormatting sqref="I2270:L2277">
    <cfRule type="expression" dxfId="4" priority="610">
      <formula>AND(NOT(HasFormula(E2271)),E2271&lt;&gt;"")</formula>
    </cfRule>
    <cfRule type="expression" dxfId="3" priority="611">
      <formula>AND(NOT(HasFormula(A2270)),A2270&lt;&gt;"")</formula>
    </cfRule>
  </conditionalFormatting>
  <conditionalFormatting sqref="L2270:L2277 N2270:O2277">
    <cfRule type="containsText" dxfId="1" priority="604" operator="between" text="送货车型9.6米">
      <formula>NOT(ISERROR(SEARCH("送货车型9.6米",L2270)))</formula>
    </cfRule>
  </conditionalFormatting>
  <conditionalFormatting sqref="H2306:H2322 H2324:H2335">
    <cfRule type="expression" dxfId="4" priority="577">
      <formula>AND(NOT(HasFormula(D2307)),D2307&lt;&gt;"")</formula>
    </cfRule>
    <cfRule type="expression" dxfId="3" priority="578">
      <formula>AND(NOT(HasFormula(XFD2306)),XFD2306&lt;&gt;"")</formula>
    </cfRule>
  </conditionalFormatting>
  <conditionalFormatting sqref="N2337:O2337 L2337">
    <cfRule type="containsText" dxfId="1" priority="581" operator="between" text="送货车型9.6米">
      <formula>NOT(ISERROR(SEARCH("送货车型9.6米",L2337)))</formula>
    </cfRule>
  </conditionalFormatting>
  <conditionalFormatting sqref="N2338:O2338 L2338">
    <cfRule type="containsText" dxfId="1" priority="565" operator="between" text="送货车型9.6米">
      <formula>NOT(ISERROR(SEARCH("送货车型9.6米",L2338)))</formula>
    </cfRule>
  </conditionalFormatting>
  <conditionalFormatting sqref="D2349:E2349 E2350:E2351">
    <cfRule type="expression" dxfId="3" priority="553">
      <formula>AND(NOT(HasFormula(XEZ2349)),XEZ2349&lt;&gt;"")</formula>
    </cfRule>
  </conditionalFormatting>
  <conditionalFormatting sqref="N2349:O2349 L2349">
    <cfRule type="containsText" dxfId="1" priority="550" operator="between" text="送货车型9.6米">
      <formula>NOT(ISERROR(SEARCH("送货车型9.6米",L2349)))</formula>
    </cfRule>
  </conditionalFormatting>
  <conditionalFormatting sqref="H2522:H2528 H2535:H2547">
    <cfRule type="expression" dxfId="4" priority="529">
      <formula>AND(NOT(HasFormula(D2523)),D2523&lt;&gt;"")</formula>
    </cfRule>
    <cfRule type="expression" dxfId="3" priority="530">
      <formula>AND(NOT(HasFormula(XFD2522)),XFD2522&lt;&gt;"")</formula>
    </cfRule>
  </conditionalFormatting>
  <conditionalFormatting sqref="I2529:L2532">
    <cfRule type="expression" dxfId="4" priority="8169">
      <formula>AND(NOT(HasFormula(E2533)),E2533&lt;&gt;"")</formula>
    </cfRule>
    <cfRule type="expression" dxfId="3" priority="8170">
      <formula>AND(NOT(HasFormula(A2529)),A2529&lt;&gt;"")</formula>
    </cfRule>
  </conditionalFormatting>
  <conditionalFormatting sqref="I2602:L2603">
    <cfRule type="expression" dxfId="4" priority="8193">
      <formula>AND(NOT(HasFormula(E2605)),E2605&lt;&gt;"")</formula>
    </cfRule>
    <cfRule type="expression" dxfId="3" priority="8194">
      <formula>AND(NOT(HasFormula(A2602)),A2602&lt;&gt;"")</formula>
    </cfRule>
  </conditionalFormatting>
  <conditionalFormatting sqref="H2665:H2757 H2647:H2649">
    <cfRule type="expression" dxfId="4" priority="8223">
      <formula>AND(NOT(HasFormula(#REF!)),#REF!&lt;&gt;"")</formula>
    </cfRule>
    <cfRule type="expression" dxfId="3" priority="8224">
      <formula>AND(NOT(HasFormula(XFD2647)),XFD2647&lt;&gt;"")</formula>
    </cfRule>
  </conditionalFormatting>
  <conditionalFormatting sqref="I2725:L2726">
    <cfRule type="expression" dxfId="4" priority="8260">
      <formula>AND(NOT(HasFormula(E2727)),E2727&lt;&gt;"")</formula>
    </cfRule>
    <cfRule type="expression" dxfId="3" priority="8261">
      <formula>AND(NOT(HasFormula(A2725)),A2725&lt;&gt;"")</formula>
    </cfRule>
  </conditionalFormatting>
  <conditionalFormatting sqref="D2758:E2761">
    <cfRule type="expression" dxfId="3" priority="479">
      <formula>AND(NOT(HasFormula(XEZ2758)),XEZ2758&lt;&gt;"")</formula>
    </cfRule>
  </conditionalFormatting>
  <conditionalFormatting sqref="I2758:L2761">
    <cfRule type="expression" dxfId="3" priority="483">
      <formula>AND(NOT(HasFormula(A2758)),A2758&lt;&gt;"")</formula>
    </cfRule>
    <cfRule type="expression" dxfId="4" priority="482">
      <formula>AND(NOT(HasFormula(E2759)),E2759&lt;&gt;"")</formula>
    </cfRule>
  </conditionalFormatting>
  <conditionalFormatting sqref="L2758:O2761">
    <cfRule type="containsText" dxfId="1" priority="476" operator="between" text="送货车型9.6米">
      <formula>NOT(ISERROR(SEARCH("送货车型9.6米",L2758)))</formula>
    </cfRule>
  </conditionalFormatting>
  <conditionalFormatting sqref="I2768:L2769">
    <cfRule type="expression" dxfId="4" priority="8290">
      <formula>AND(NOT(HasFormula(E2770)),E2770&lt;&gt;"")</formula>
    </cfRule>
    <cfRule type="expression" dxfId="3" priority="8291">
      <formula>AND(NOT(HasFormula(A2768)),A2768&lt;&gt;"")</formula>
    </cfRule>
  </conditionalFormatting>
  <conditionalFormatting sqref="I2771:L2772">
    <cfRule type="expression" dxfId="4" priority="8268">
      <formula>AND(NOT(HasFormula(#REF!)),#REF!&lt;&gt;"")</formula>
    </cfRule>
    <cfRule type="expression" dxfId="3" priority="8269">
      <formula>AND(NOT(HasFormula(A2771)),A2771&lt;&gt;"")</formula>
    </cfRule>
  </conditionalFormatting>
  <conditionalFormatting sqref="I2796:L2797">
    <cfRule type="expression" dxfId="4" priority="8284">
      <formula>AND(NOT(HasFormula(E2798)),E2798&lt;&gt;"")</formula>
    </cfRule>
    <cfRule type="expression" dxfId="3" priority="8285">
      <formula>AND(NOT(HasFormula(A2796)),A2796&lt;&gt;"")</formula>
    </cfRule>
  </conditionalFormatting>
  <conditionalFormatting sqref="L2891 I2891">
    <cfRule type="expression" dxfId="4" priority="8450">
      <formula>AND(NOT(HasFormula(#REF!)),#REF!&lt;&gt;"")</formula>
    </cfRule>
    <cfRule type="expression" dxfId="3" priority="8451">
      <formula>AND(NOT(HasFormula(A2891)),A2891&lt;&gt;"")</formula>
    </cfRule>
  </conditionalFormatting>
  <conditionalFormatting sqref="J2892:K2899">
    <cfRule type="expression" dxfId="4" priority="8362">
      <formula>AND(NOT(HasFormula(#REF!)),#REF!&lt;&gt;"")</formula>
    </cfRule>
    <cfRule type="expression" dxfId="3" priority="8363">
      <formula>AND(NOT(HasFormula(B2892)),B2892&lt;&gt;"")</formula>
    </cfRule>
  </conditionalFormatting>
  <conditionalFormatting sqref="I2906:L2907">
    <cfRule type="expression" dxfId="4" priority="8376">
      <formula>AND(NOT(HasFormula(E2908)),E2908&lt;&gt;"")</formula>
    </cfRule>
    <cfRule type="expression" dxfId="3" priority="8377">
      <formula>AND(NOT(HasFormula(A2906)),A2906&lt;&gt;"")</formula>
    </cfRule>
  </conditionalFormatting>
  <conditionalFormatting sqref="I2924:L2925">
    <cfRule type="expression" dxfId="4" priority="8370">
      <formula>AND(NOT(HasFormula(E2926)),E2926&lt;&gt;"")</formula>
    </cfRule>
    <cfRule type="expression" dxfId="3" priority="8371">
      <formula>AND(NOT(HasFormula(A2924)),A2924&lt;&gt;"")</formula>
    </cfRule>
  </conditionalFormatting>
  <conditionalFormatting sqref="D2949:E2953">
    <cfRule type="expression" dxfId="3" priority="454">
      <formula>AND(NOT(HasFormula(XEZ2949)),XEZ2949&lt;&gt;"")</formula>
    </cfRule>
  </conditionalFormatting>
  <conditionalFormatting sqref="I2949:L2953">
    <cfRule type="expression" dxfId="4" priority="459">
      <formula>AND(NOT(HasFormula(E2950)),E2950&lt;&gt;"")</formula>
    </cfRule>
    <cfRule type="expression" dxfId="3" priority="460">
      <formula>AND(NOT(HasFormula(A2949)),A2949&lt;&gt;"")</formula>
    </cfRule>
  </conditionalFormatting>
  <conditionalFormatting sqref="L2949:O2953">
    <cfRule type="containsText" dxfId="1" priority="450" operator="between" text="送货车型9.6米">
      <formula>NOT(ISERROR(SEARCH("送货车型9.6米",L2949)))</formula>
    </cfRule>
  </conditionalFormatting>
  <conditionalFormatting sqref="D2958:E2960">
    <cfRule type="expression" dxfId="3" priority="440">
      <formula>AND(NOT(HasFormula(XEZ2958)),XEZ2958&lt;&gt;"")</formula>
    </cfRule>
  </conditionalFormatting>
  <conditionalFormatting sqref="I2958:L2960">
    <cfRule type="expression" dxfId="4" priority="443">
      <formula>AND(NOT(HasFormula(E2959)),E2959&lt;&gt;"")</formula>
    </cfRule>
    <cfRule type="expression" dxfId="3" priority="444">
      <formula>AND(NOT(HasFormula(A2958)),A2958&lt;&gt;"")</formula>
    </cfRule>
  </conditionalFormatting>
  <conditionalFormatting sqref="L2958:O2960">
    <cfRule type="containsText" dxfId="1" priority="436" operator="between" text="送货车型9.6米">
      <formula>NOT(ISERROR(SEARCH("送货车型9.6米",L2958)))</formula>
    </cfRule>
  </conditionalFormatting>
  <conditionalFormatting sqref="I2966:L2967">
    <cfRule type="expression" dxfId="4" priority="8430">
      <formula>AND(NOT(HasFormula(E2968)),E2968&lt;&gt;"")</formula>
    </cfRule>
    <cfRule type="expression" dxfId="3" priority="8431">
      <formula>AND(NOT(HasFormula(A2966)),A2966&lt;&gt;"")</formula>
    </cfRule>
  </conditionalFormatting>
  <conditionalFormatting sqref="I2974:L2975">
    <cfRule type="expression" dxfId="4" priority="8434">
      <formula>AND(NOT(HasFormula(E2976)),E2976&lt;&gt;"")</formula>
    </cfRule>
    <cfRule type="expression" dxfId="3" priority="8435">
      <formula>AND(NOT(HasFormula(A2974)),A2974&lt;&gt;"")</formula>
    </cfRule>
  </conditionalFormatting>
  <conditionalFormatting sqref="D2996:E3002">
    <cfRule type="expression" dxfId="3" priority="422">
      <formula>AND(NOT(HasFormula(XEZ2996)),XEZ2996&lt;&gt;"")</formula>
    </cfRule>
  </conditionalFormatting>
  <conditionalFormatting sqref="D2996:D2998 D3000:D3002">
    <cfRule type="expression" dxfId="4" priority="421">
      <formula>AND(NOT(HasFormula(XFD2997)),XFD2997&lt;&gt;"")</formula>
    </cfRule>
  </conditionalFormatting>
  <conditionalFormatting sqref="E2996:E2998 E3000:E3002">
    <cfRule type="expression" dxfId="4" priority="427">
      <formula>AND(NOT(HasFormula(A2997)),A2997&lt;&gt;"")</formula>
    </cfRule>
  </conditionalFormatting>
  <conditionalFormatting sqref="I2996:L2998 I3000:L3002">
    <cfRule type="expression" dxfId="4" priority="425">
      <formula>AND(NOT(HasFormula(E2997)),E2997&lt;&gt;"")</formula>
    </cfRule>
    <cfRule type="expression" dxfId="3" priority="426">
      <formula>AND(NOT(HasFormula(A2996)),A2996&lt;&gt;"")</formula>
    </cfRule>
  </conditionalFormatting>
  <conditionalFormatting sqref="L2996:O3002">
    <cfRule type="containsText" dxfId="1" priority="419" operator="between" text="送货车型9.6米">
      <formula>NOT(ISERROR(SEARCH("送货车型9.6米",L2996)))</formula>
    </cfRule>
  </conditionalFormatting>
  <conditionalFormatting sqref="D3025 D3042">
    <cfRule type="expression" dxfId="4" priority="8454">
      <formula>AND(NOT(HasFormula(#REF!)),#REF!&lt;&gt;"")</formula>
    </cfRule>
  </conditionalFormatting>
  <conditionalFormatting sqref="E3025 E3042">
    <cfRule type="expression" dxfId="4" priority="8455">
      <formula>AND(NOT(HasFormula(#REF!)),#REF!&lt;&gt;"")</formula>
    </cfRule>
  </conditionalFormatting>
  <conditionalFormatting sqref="I3025:L3025 I3042:L3042">
    <cfRule type="expression" dxfId="4" priority="8456">
      <formula>AND(NOT(HasFormula(#REF!)),#REF!&lt;&gt;"")</formula>
    </cfRule>
    <cfRule type="expression" dxfId="3" priority="8457">
      <formula>AND(NOT(HasFormula(A3025)),A3025&lt;&gt;"")</formula>
    </cfRule>
  </conditionalFormatting>
  <conditionalFormatting sqref="D3026:E3028">
    <cfRule type="expression" dxfId="3" priority="397">
      <formula>AND(NOT(HasFormula(XEZ3026)),XEZ3026&lt;&gt;"")</formula>
    </cfRule>
  </conditionalFormatting>
  <conditionalFormatting sqref="I3026:L3027">
    <cfRule type="expression" dxfId="4" priority="400">
      <formula>AND(NOT(HasFormula(E3027)),E3027&lt;&gt;"")</formula>
    </cfRule>
    <cfRule type="expression" dxfId="3" priority="401">
      <formula>AND(NOT(HasFormula(A3026)),A3026&lt;&gt;"")</formula>
    </cfRule>
  </conditionalFormatting>
  <conditionalFormatting sqref="L3026:O3028">
    <cfRule type="containsText" dxfId="1" priority="394" operator="between" text="送货车型9.6米">
      <formula>NOT(ISERROR(SEARCH("送货车型9.6米",L3026)))</formula>
    </cfRule>
  </conditionalFormatting>
  <conditionalFormatting sqref="D3043:E3048">
    <cfRule type="expression" dxfId="3" priority="320">
      <formula>AND(NOT(HasFormula(XEZ3043)),XEZ3043&lt;&gt;"")</formula>
    </cfRule>
  </conditionalFormatting>
  <conditionalFormatting sqref="D3043:D3044 D3046:D3048">
    <cfRule type="expression" dxfId="4" priority="319">
      <formula>AND(NOT(HasFormula(XFD3044)),XFD3044&lt;&gt;"")</formula>
    </cfRule>
  </conditionalFormatting>
  <conditionalFormatting sqref="E3043:E3044 E3046:E3048">
    <cfRule type="expression" dxfId="4" priority="325">
      <formula>AND(NOT(HasFormula(A3044)),A3044&lt;&gt;"")</formula>
    </cfRule>
  </conditionalFormatting>
  <conditionalFormatting sqref="I3043:L3044 I3046:L3048">
    <cfRule type="expression" dxfId="4" priority="323">
      <formula>AND(NOT(HasFormula(E3044)),E3044&lt;&gt;"")</formula>
    </cfRule>
    <cfRule type="expression" dxfId="3" priority="324">
      <formula>AND(NOT(HasFormula(A3043)),A3043&lt;&gt;"")</formula>
    </cfRule>
  </conditionalFormatting>
  <conditionalFormatting sqref="L3043:L3048 N3043:O3048">
    <cfRule type="containsText" dxfId="1" priority="317" operator="between" text="送货车型9.6米">
      <formula>NOT(ISERROR(SEARCH("送货车型9.6米",L3043)))</formula>
    </cfRule>
  </conditionalFormatting>
  <conditionalFormatting sqref="D3049:E3051">
    <cfRule type="expression" dxfId="3" priority="333">
      <formula>AND(NOT(HasFormula(XEZ3049)),XEZ3049&lt;&gt;"")</formula>
    </cfRule>
  </conditionalFormatting>
  <conditionalFormatting sqref="D3049 D3051">
    <cfRule type="expression" dxfId="4" priority="332">
      <formula>AND(NOT(HasFormula(XFD3050)),XFD3050&lt;&gt;"")</formula>
    </cfRule>
  </conditionalFormatting>
  <conditionalFormatting sqref="E3049 E3051">
    <cfRule type="expression" dxfId="4" priority="338">
      <formula>AND(NOT(HasFormula(A3050)),A3050&lt;&gt;"")</formula>
    </cfRule>
  </conditionalFormatting>
  <conditionalFormatting sqref="I3049:L3049 I3051:L3051">
    <cfRule type="expression" dxfId="4" priority="336">
      <formula>AND(NOT(HasFormula(E3050)),E3050&lt;&gt;"")</formula>
    </cfRule>
    <cfRule type="expression" dxfId="3" priority="337">
      <formula>AND(NOT(HasFormula(A3049)),A3049&lt;&gt;"")</formula>
    </cfRule>
  </conditionalFormatting>
  <conditionalFormatting sqref="L3049:O3051">
    <cfRule type="containsText" dxfId="1" priority="330" operator="between" text="送货车型9.6米">
      <formula>NOT(ISERROR(SEARCH("送货车型9.6米",L3049)))</formula>
    </cfRule>
  </conditionalFormatting>
  <conditionalFormatting sqref="D3052:D3053 D3055:D3056">
    <cfRule type="expression" dxfId="2" priority="344">
      <formula>AND(NOT(_xlfn.ISFORMULA(D3052)),D3052&lt;&gt;"")</formula>
    </cfRule>
    <cfRule type="expression" dxfId="4" priority="345">
      <formula>AND(NOT(HasFormula(XFD3053)),XFD3053&lt;&gt;"")</formula>
    </cfRule>
  </conditionalFormatting>
  <conditionalFormatting sqref="D3052:E3056 D3057:D3058">
    <cfRule type="expression" dxfId="3" priority="346">
      <formula>AND(NOT(HasFormula(XEZ3052)),XEZ3052&lt;&gt;"")</formula>
    </cfRule>
  </conditionalFormatting>
  <conditionalFormatting sqref="E3052:E3053 E3056">
    <cfRule type="expression" dxfId="4" priority="351">
      <formula>AND(NOT(HasFormula(A3053)),A3053&lt;&gt;"")</formula>
    </cfRule>
  </conditionalFormatting>
  <conditionalFormatting sqref="I3052:L3053 J3055:L3056">
    <cfRule type="expression" dxfId="4" priority="349">
      <formula>AND(NOT(HasFormula(E3053)),E3053&lt;&gt;"")</formula>
    </cfRule>
    <cfRule type="expression" dxfId="3" priority="350">
      <formula>AND(NOT(HasFormula(A3052)),A3052&lt;&gt;"")</formula>
    </cfRule>
  </conditionalFormatting>
  <conditionalFormatting sqref="L3052:L3053 N3052:O3053 L3054:O3058">
    <cfRule type="containsText" dxfId="1" priority="343" operator="between" text="送货车型9.6米">
      <formula>NOT(ISERROR(SEARCH("送货车型9.6米",L3052)))</formula>
    </cfRule>
  </conditionalFormatting>
  <conditionalFormatting sqref="I3057:L3058">
    <cfRule type="expression" dxfId="4" priority="8491">
      <formula>AND(NOT(HasFormula(E3059)),E3059&lt;&gt;"")</formula>
    </cfRule>
    <cfRule type="expression" dxfId="3" priority="8492">
      <formula>AND(NOT(HasFormula(A3057)),A3057&lt;&gt;"")</formula>
    </cfRule>
  </conditionalFormatting>
  <conditionalFormatting sqref="D3075:E3088">
    <cfRule type="expression" dxfId="3" priority="289">
      <formula>AND(NOT(HasFormula(XEZ3075)),XEZ3075&lt;&gt;"")</formula>
    </cfRule>
  </conditionalFormatting>
  <conditionalFormatting sqref="I3078:L3087">
    <cfRule type="expression" dxfId="4" priority="8487">
      <formula>AND(NOT(HasFormula(E3089)),E3089&lt;&gt;"")</formula>
    </cfRule>
    <cfRule type="expression" dxfId="3" priority="8488">
      <formula>AND(NOT(HasFormula(A3078)),A3078&lt;&gt;"")</formula>
    </cfRule>
  </conditionalFormatting>
  <conditionalFormatting sqref="I3141:L3142">
    <cfRule type="expression" dxfId="4" priority="8535">
      <formula>AND(NOT(HasFormula(E3143)),E3143&lt;&gt;"")</formula>
    </cfRule>
    <cfRule type="expression" dxfId="3" priority="8536">
      <formula>AND(NOT(HasFormula(A3141)),A3141&lt;&gt;"")</formula>
    </cfRule>
  </conditionalFormatting>
  <conditionalFormatting sqref="D3184:D3204 D3214:D3227">
    <cfRule type="expression" dxfId="4" priority="240">
      <formula>AND(NOT(HasFormula(XFD3185)),XFD3185&lt;&gt;"")</formula>
    </cfRule>
  </conditionalFormatting>
  <conditionalFormatting sqref="D3184:E3227">
    <cfRule type="expression" dxfId="3" priority="241">
      <formula>AND(NOT(HasFormula(XEZ3184)),XEZ3184&lt;&gt;"")</formula>
    </cfRule>
  </conditionalFormatting>
  <conditionalFormatting sqref="E3184:E3204 E3214:E3227">
    <cfRule type="expression" dxfId="4" priority="248">
      <formula>AND(NOT(HasFormula(A3185)),A3185&lt;&gt;"")</formula>
    </cfRule>
  </conditionalFormatting>
  <conditionalFormatting sqref="I3184:L3204 I3214:L3227">
    <cfRule type="expression" dxfId="4" priority="246">
      <formula>AND(NOT(HasFormula(E3185)),E3185&lt;&gt;"")</formula>
    </cfRule>
    <cfRule type="expression" dxfId="3" priority="247">
      <formula>AND(NOT(HasFormula(A3184)),A3184&lt;&gt;"")</formula>
    </cfRule>
  </conditionalFormatting>
  <conditionalFormatting sqref="L3184:O3227">
    <cfRule type="containsText" dxfId="1" priority="237" operator="between" text="送货车型9.6米">
      <formula>NOT(ISERROR(SEARCH("送货车型9.6米",L3184)))</formula>
    </cfRule>
  </conditionalFormatting>
  <conditionalFormatting sqref="I3212:L3213">
    <cfRule type="expression" dxfId="4" priority="8575">
      <formula>AND(NOT(HasFormula(E3214)),E3214&lt;&gt;"")</formula>
    </cfRule>
    <cfRule type="expression" dxfId="3" priority="8576">
      <formula>AND(NOT(HasFormula(A3212)),A3212&lt;&gt;"")</formula>
    </cfRule>
  </conditionalFormatting>
  <conditionalFormatting sqref="I3284:L3285">
    <cfRule type="expression" dxfId="4" priority="8583">
      <formula>AND(NOT(HasFormula(#REF!)),#REF!&lt;&gt;"")</formula>
    </cfRule>
    <cfRule type="expression" dxfId="3" priority="8584">
      <formula>AND(NOT(HasFormula(A3284)),A3284&lt;&gt;"")</formula>
    </cfRule>
  </conditionalFormatting>
  <conditionalFormatting sqref="I3322:L3323">
    <cfRule type="expression" dxfId="4" priority="8589">
      <formula>AND(NOT(HasFormula(E3324)),E3324&lt;&gt;"")</formula>
    </cfRule>
    <cfRule type="expression" dxfId="3" priority="8590">
      <formula>AND(NOT(HasFormula(A3322)),A3322&lt;&gt;"")</formula>
    </cfRule>
  </conditionalFormatting>
  <conditionalFormatting sqref="I3330:L3331">
    <cfRule type="expression" dxfId="4" priority="8615">
      <formula>AND(NOT(HasFormula(E3332)),E3332&lt;&gt;"")</formula>
    </cfRule>
    <cfRule type="expression" dxfId="3" priority="8616">
      <formula>AND(NOT(HasFormula(A3330)),A3330&lt;&gt;"")</formula>
    </cfRule>
  </conditionalFormatting>
  <conditionalFormatting sqref="I3346:L3347">
    <cfRule type="expression" dxfId="4" priority="8619">
      <formula>AND(NOT(HasFormula(E3348)),E3348&lt;&gt;"")</formula>
    </cfRule>
    <cfRule type="expression" dxfId="3" priority="8620">
      <formula>AND(NOT(HasFormula(A3346)),A3346&lt;&gt;"")</formula>
    </cfRule>
  </conditionalFormatting>
  <conditionalFormatting sqref="D3469 D3481">
    <cfRule type="expression" dxfId="4" priority="8717">
      <formula>AND(NOT(HasFormula(#REF!)),#REF!&lt;&gt;"")</formula>
    </cfRule>
  </conditionalFormatting>
  <conditionalFormatting sqref="E3469 E3481">
    <cfRule type="expression" dxfId="4" priority="8718">
      <formula>AND(NOT(HasFormula(#REF!)),#REF!&lt;&gt;"")</formula>
    </cfRule>
  </conditionalFormatting>
  <conditionalFormatting sqref="H3469 H3481:H3487">
    <cfRule type="expression" dxfId="4" priority="8715">
      <formula>AND(NOT(HasFormula(#REF!)),#REF!&lt;&gt;"")</formula>
    </cfRule>
    <cfRule type="expression" dxfId="3" priority="8716">
      <formula>AND(NOT(HasFormula(XFD3469)),XFD3469&lt;&gt;"")</formula>
    </cfRule>
  </conditionalFormatting>
  <conditionalFormatting sqref="I3469:L3469 I3481:L3481">
    <cfRule type="expression" dxfId="4" priority="8719">
      <formula>AND(NOT(HasFormula(#REF!)),#REF!&lt;&gt;"")</formula>
    </cfRule>
    <cfRule type="expression" dxfId="3" priority="8720">
      <formula>AND(NOT(HasFormula(A3469)),A3469&lt;&gt;"")</formula>
    </cfRule>
  </conditionalFormatting>
  <conditionalFormatting sqref="I3540:L3541">
    <cfRule type="expression" dxfId="4" priority="8779">
      <formula>AND(NOT(HasFormula(E3542)),E3542&lt;&gt;"")</formula>
    </cfRule>
    <cfRule type="expression" dxfId="3" priority="8780">
      <formula>AND(NOT(HasFormula(A3540)),A3540&lt;&gt;"")</formula>
    </cfRule>
  </conditionalFormatting>
  <conditionalFormatting sqref="I3569:L3570">
    <cfRule type="expression" dxfId="4" priority="8791">
      <formula>AND(NOT(HasFormula(E3572)),E3572&lt;&gt;"")</formula>
    </cfRule>
    <cfRule type="expression" dxfId="3" priority="8792">
      <formula>AND(NOT(HasFormula(A3569)),A3569&lt;&gt;"")</formula>
    </cfRule>
  </conditionalFormatting>
  <conditionalFormatting sqref="I3604:L3605">
    <cfRule type="expression" dxfId="4" priority="8815">
      <formula>AND(NOT(HasFormula(E3606)),E3606&lt;&gt;"")</formula>
    </cfRule>
    <cfRule type="expression" dxfId="3" priority="8816">
      <formula>AND(NOT(HasFormula(A3604)),A3604&lt;&gt;"")</formula>
    </cfRule>
  </conditionalFormatting>
  <conditionalFormatting sqref="I3609:L3610">
    <cfRule type="expression" dxfId="4" priority="8833">
      <formula>AND(NOT(HasFormula(E3611)),E3611&lt;&gt;"")</formula>
    </cfRule>
    <cfRule type="expression" dxfId="3" priority="8834">
      <formula>AND(NOT(HasFormula(A3609)),A3609&lt;&gt;"")</formula>
    </cfRule>
  </conditionalFormatting>
  <conditionalFormatting sqref="I3617:L3618">
    <cfRule type="expression" dxfId="4" priority="8841">
      <formula>AND(NOT(HasFormula(E3619)),E3619&lt;&gt;"")</formula>
    </cfRule>
    <cfRule type="expression" dxfId="3" priority="8842">
      <formula>AND(NOT(HasFormula(A3617)),A3617&lt;&gt;"")</formula>
    </cfRule>
  </conditionalFormatting>
  <conditionalFormatting sqref="I3627:L3628">
    <cfRule type="expression" dxfId="4" priority="8853">
      <formula>AND(NOT(HasFormula(E3629)),E3629&lt;&gt;"")</formula>
    </cfRule>
    <cfRule type="expression" dxfId="3" priority="8854">
      <formula>AND(NOT(HasFormula(A3627)),A3627&lt;&gt;"")</formula>
    </cfRule>
  </conditionalFormatting>
  <conditionalFormatting sqref="I3630:L3633">
    <cfRule type="expression" dxfId="4" priority="8859">
      <formula>AND(NOT(HasFormula(E3634)),E3634&lt;&gt;"")</formula>
    </cfRule>
    <cfRule type="expression" dxfId="3" priority="8860">
      <formula>AND(NOT(HasFormula(A3630)),A3630&lt;&gt;"")</formula>
    </cfRule>
  </conditionalFormatting>
  <conditionalFormatting sqref="I3673:L3674">
    <cfRule type="expression" dxfId="4" priority="8877">
      <formula>AND(NOT(HasFormula(E3679)),E3679&lt;&gt;"")</formula>
    </cfRule>
    <cfRule type="expression" dxfId="3" priority="8878">
      <formula>AND(NOT(HasFormula(A3673)),A3673&lt;&gt;"")</formula>
    </cfRule>
  </conditionalFormatting>
  <conditionalFormatting sqref="I3675:L3678">
    <cfRule type="expression" dxfId="4" priority="8875">
      <formula>AND(NOT(HasFormula(E3679)),E3679&lt;&gt;"")</formula>
    </cfRule>
    <cfRule type="expression" dxfId="3" priority="8876">
      <formula>AND(NOT(HasFormula(A3675)),A3675&lt;&gt;"")</formula>
    </cfRule>
  </conditionalFormatting>
  <conditionalFormatting sqref="D3723:D3724 D3727">
    <cfRule type="expression" dxfId="4" priority="8881">
      <formula>AND(NOT(HasFormula(#REF!)),#REF!&lt;&gt;"")</formula>
    </cfRule>
  </conditionalFormatting>
  <conditionalFormatting sqref="E3723:E3724 E3727">
    <cfRule type="expression" dxfId="4" priority="8882">
      <formula>AND(NOT(HasFormula(#REF!)),#REF!&lt;&gt;"")</formula>
    </cfRule>
  </conditionalFormatting>
  <conditionalFormatting sqref="H3723:H3724 H3727">
    <cfRule type="expression" dxfId="4" priority="8879">
      <formula>AND(NOT(HasFormula(#REF!)),#REF!&lt;&gt;"")</formula>
    </cfRule>
    <cfRule type="expression" dxfId="3" priority="8880">
      <formula>AND(NOT(HasFormula(XFD3723)),XFD3723&lt;&gt;"")</formula>
    </cfRule>
  </conditionalFormatting>
  <conditionalFormatting sqref="I3723:L3724 I3727:L3727">
    <cfRule type="expression" dxfId="4" priority="8883">
      <formula>AND(NOT(HasFormula(#REF!)),#REF!&lt;&gt;"")</formula>
    </cfRule>
    <cfRule type="expression" dxfId="3" priority="8884">
      <formula>AND(NOT(HasFormula(A3723)),A3723&lt;&gt;"")</formula>
    </cfRule>
  </conditionalFormatting>
  <conditionalFormatting sqref="I3852:L3853">
    <cfRule type="expression" dxfId="4" priority="8949">
      <formula>AND(NOT(HasFormula(E3854)),E3854&lt;&gt;"")</formula>
    </cfRule>
    <cfRule type="expression" dxfId="3" priority="8950">
      <formula>AND(NOT(HasFormula(A3852)),A3852&lt;&gt;"")</formula>
    </cfRule>
  </conditionalFormatting>
  <conditionalFormatting sqref="I3876:L3877">
    <cfRule type="expression" dxfId="4" priority="8943">
      <formula>AND(NOT(HasFormula(#REF!)),#REF!&lt;&gt;"")</formula>
    </cfRule>
    <cfRule type="expression" dxfId="3" priority="8944">
      <formula>AND(NOT(HasFormula(A3876)),A3876&lt;&gt;"")</formula>
    </cfRule>
  </conditionalFormatting>
  <conditionalFormatting sqref="I3911:L3913">
    <cfRule type="expression" dxfId="4" priority="8967">
      <formula>AND(NOT(HasFormula(#REF!)),#REF!&lt;&gt;"")</formula>
    </cfRule>
    <cfRule type="expression" dxfId="3" priority="8968">
      <formula>AND(NOT(HasFormula(A3911)),A3911&lt;&gt;"")</formula>
    </cfRule>
  </conditionalFormatting>
  <conditionalFormatting sqref="D4067:E4067 D4068:E4068">
    <cfRule type="expression" dxfId="3" priority="153">
      <formula>AND(NOT(HasFormula(XEZ4067)),XEZ4067&lt;&gt;"")</formula>
    </cfRule>
  </conditionalFormatting>
  <conditionalFormatting sqref="D4067 D4068">
    <cfRule type="expression" dxfId="4" priority="152">
      <formula>AND(NOT(HasFormula(XFD4068)),XFD4068&lt;&gt;"")</formula>
    </cfRule>
    <cfRule type="expression" dxfId="2" priority="150">
      <formula>AND(NOT(_xlfn.ISFORMULA(D4067)),D4067&lt;&gt;"")</formula>
    </cfRule>
  </conditionalFormatting>
  <conditionalFormatting sqref="E4067 E4068">
    <cfRule type="expression" dxfId="4" priority="160">
      <formula>AND(NOT(HasFormula(A4068)),A4068&lt;&gt;"")</formula>
    </cfRule>
  </conditionalFormatting>
  <conditionalFormatting sqref="F4067 F4068">
    <cfRule type="containsText" dxfId="5" priority="155" operator="between" text="HRB500E">
      <formula>NOT(ISERROR(SEARCH("HRB500E",F4067)))</formula>
    </cfRule>
    <cfRule type="containsText" dxfId="6" priority="154" operator="between" text="12m">
      <formula>NOT(ISERROR(SEARCH("12m",F4067)))</formula>
    </cfRule>
  </conditionalFormatting>
  <conditionalFormatting sqref="I4067:L4067 I4068:L4068">
    <cfRule type="expression" dxfId="3" priority="159">
      <formula>AND(NOT(HasFormula(A4067)),A4067&lt;&gt;"")</formula>
    </cfRule>
    <cfRule type="expression" dxfId="4" priority="158">
      <formula>AND(NOT(HasFormula(E4068)),E4068&lt;&gt;"")</formula>
    </cfRule>
  </conditionalFormatting>
  <conditionalFormatting sqref="L4067:O4067 L4068:O4068">
    <cfRule type="containsText" dxfId="1" priority="149" operator="between" text="送货车型9.6米">
      <formula>NOT(ISERROR(SEARCH("送货车型9.6米",L4067)))</formula>
    </cfRule>
  </conditionalFormatting>
  <conditionalFormatting sqref="I4087:L4088">
    <cfRule type="expression" dxfId="4" priority="8979">
      <formula>AND(NOT(HasFormula(E4089)),E4089&lt;&gt;"")</formula>
    </cfRule>
    <cfRule type="expression" dxfId="3" priority="8980">
      <formula>AND(NOT(HasFormula(A4087)),A4087&lt;&gt;"")</formula>
    </cfRule>
  </conditionalFormatting>
  <conditionalFormatting sqref="H4125:H4155 H4159:H4160">
    <cfRule type="expression" dxfId="4" priority="124">
      <formula>AND(NOT(HasFormula(D4126)),D4126&lt;&gt;"")</formula>
    </cfRule>
    <cfRule type="expression" dxfId="3" priority="125">
      <formula>AND(NOT(HasFormula(XFD4125)),XFD4125&lt;&gt;"")</formula>
    </cfRule>
  </conditionalFormatting>
  <conditionalFormatting sqref="D4148:E4149 D4150:E4150">
    <cfRule type="expression" dxfId="3" priority="138">
      <formula>AND(NOT(HasFormula(XEZ4148)),XEZ4148&lt;&gt;"")</formula>
    </cfRule>
  </conditionalFormatting>
  <conditionalFormatting sqref="D4148:D4149 D4150">
    <cfRule type="expression" dxfId="4" priority="137">
      <formula>AND(NOT(HasFormula(XFD4149)),XFD4149&lt;&gt;"")</formula>
    </cfRule>
    <cfRule type="expression" dxfId="2" priority="135">
      <formula>AND(NOT(_xlfn.ISFORMULA(D4148)),D4148&lt;&gt;"")</formula>
    </cfRule>
  </conditionalFormatting>
  <conditionalFormatting sqref="E4148:E4149 E4150">
    <cfRule type="expression" dxfId="4" priority="145">
      <formula>AND(NOT(HasFormula(A4149)),A4149&lt;&gt;"")</formula>
    </cfRule>
  </conditionalFormatting>
  <conditionalFormatting sqref="F4148:F4149 F4150">
    <cfRule type="containsText" dxfId="5" priority="140" operator="between" text="HRB500E">
      <formula>NOT(ISERROR(SEARCH("HRB500E",F4148)))</formula>
    </cfRule>
    <cfRule type="containsText" dxfId="6" priority="139" operator="between" text="12m">
      <formula>NOT(ISERROR(SEARCH("12m",F4148)))</formula>
    </cfRule>
  </conditionalFormatting>
  <conditionalFormatting sqref="I4148:L4149 I4150:L4150">
    <cfRule type="expression" dxfId="3" priority="144">
      <formula>AND(NOT(HasFormula(A4148)),A4148&lt;&gt;"")</formula>
    </cfRule>
    <cfRule type="expression" dxfId="4" priority="143">
      <formula>AND(NOT(HasFormula(E4149)),E4149&lt;&gt;"")</formula>
    </cfRule>
  </conditionalFormatting>
  <conditionalFormatting sqref="L4148:O4149 L4150:O4150">
    <cfRule type="containsText" dxfId="1" priority="134" operator="between" text="送货车型9.6米">
      <formula>NOT(ISERROR(SEARCH("送货车型9.6米",L4148)))</formula>
    </cfRule>
  </conditionalFormatting>
  <conditionalFormatting sqref="D4220:E4224">
    <cfRule type="expression" dxfId="3" priority="117">
      <formula>AND(NOT(HasFormula(XEZ4220)),XEZ4220&lt;&gt;"")</formula>
    </cfRule>
  </conditionalFormatting>
  <conditionalFormatting sqref="D4549 D4552 D4574">
    <cfRule type="expression" dxfId="4" priority="9101">
      <formula>AND(NOT(HasFormula(#REF!)),#REF!&lt;&gt;"")</formula>
    </cfRule>
  </conditionalFormatting>
  <conditionalFormatting sqref="E4549 E4552 E4574">
    <cfRule type="expression" dxfId="4" priority="9102">
      <formula>AND(NOT(HasFormula(#REF!)),#REF!&lt;&gt;"")</formula>
    </cfRule>
  </conditionalFormatting>
  <conditionalFormatting sqref="I4549:L4549 I4552:L4552 I4574:L4574">
    <cfRule type="expression" dxfId="4" priority="9103">
      <formula>AND(NOT(HasFormula(#REF!)),#REF!&lt;&gt;"")</formula>
    </cfRule>
    <cfRule type="expression" dxfId="3" priority="9104">
      <formula>AND(NOT(HasFormula(A4549)),A4549&lt;&gt;"")</formula>
    </cfRule>
  </conditionalFormatting>
  <conditionalFormatting sqref="I4633:L4634">
    <cfRule type="expression" dxfId="4" priority="9116">
      <formula>AND(NOT(HasFormula(E4635)),E4635&lt;&gt;"")</formula>
    </cfRule>
    <cfRule type="expression" dxfId="3" priority="9117">
      <formula>AND(NOT(HasFormula(A4633)),A4633&lt;&gt;"")</formula>
    </cfRule>
  </conditionalFormatting>
  <conditionalFormatting sqref="I4658:L4659">
    <cfRule type="expression" dxfId="4" priority="9150">
      <formula>AND(NOT(HasFormula(E4660)),E4660&lt;&gt;"")</formula>
    </cfRule>
    <cfRule type="expression" dxfId="3" priority="9151">
      <formula>AND(NOT(HasFormula(A4658)),A4658&lt;&gt;"")</formula>
    </cfRule>
  </conditionalFormatting>
  <conditionalFormatting sqref="D4702:D4704 D4725">
    <cfRule type="expression" dxfId="4" priority="9132">
      <formula>AND(NOT(HasFormula(#REF!)),#REF!&lt;&gt;"")</formula>
    </cfRule>
  </conditionalFormatting>
  <conditionalFormatting sqref="E4702:E4704 E4725">
    <cfRule type="expression" dxfId="4" priority="9133">
      <formula>AND(NOT(HasFormula(#REF!)),#REF!&lt;&gt;"")</formula>
    </cfRule>
  </conditionalFormatting>
  <conditionalFormatting sqref="H4702:H4704 H4725">
    <cfRule type="expression" dxfId="4" priority="9130">
      <formula>AND(NOT(HasFormula(#REF!)),#REF!&lt;&gt;"")</formula>
    </cfRule>
    <cfRule type="expression" dxfId="3" priority="9131">
      <formula>AND(NOT(HasFormula(XFD4702)),XFD4702&lt;&gt;"")</formula>
    </cfRule>
  </conditionalFormatting>
  <conditionalFormatting sqref="I4702:L4704 I4725:L4725">
    <cfRule type="expression" dxfId="4" priority="9134">
      <formula>AND(NOT(HasFormula(#REF!)),#REF!&lt;&gt;"")</formula>
    </cfRule>
    <cfRule type="expression" dxfId="3" priority="9135">
      <formula>AND(NOT(HasFormula(A4702)),A4702&lt;&gt;"")</formula>
    </cfRule>
  </conditionalFormatting>
  <conditionalFormatting sqref="H4868:H4883 H4887 H4891:H4906">
    <cfRule type="expression" dxfId="4" priority="18">
      <formula>AND(NOT(HasFormula(D4869)),D4869&lt;&gt;"")</formula>
    </cfRule>
    <cfRule type="expression" dxfId="3" priority="19">
      <formula>AND(NOT(HasFormula(XFD4868)),XFD4868&lt;&gt;"")</formula>
    </cfRule>
  </conditionalFormatting>
  <conditionalFormatting sqref="D4878:E4907">
    <cfRule type="expression" dxfId="3" priority="26">
      <formula>AND(NOT(HasFormula(XEZ4878)),XEZ4878&lt;&gt;"")</formula>
    </cfRule>
  </conditionalFormatting>
  <conditionalFormatting sqref="D4878:D4883 D4887 D4890:D4907">
    <cfRule type="expression" dxfId="2" priority="23">
      <formula>AND(NOT(_xlfn.ISFORMULA(D4878)),D4878&lt;&gt;"")</formula>
    </cfRule>
    <cfRule type="expression" dxfId="4" priority="25">
      <formula>AND(NOT(HasFormula(XFD4879)),XFD4879&lt;&gt;"")</formula>
    </cfRule>
  </conditionalFormatting>
  <conditionalFormatting sqref="E4878:E4883 E4887 E4890:E4907">
    <cfRule type="expression" dxfId="4" priority="33">
      <formula>AND(NOT(HasFormula(A4879)),A4879&lt;&gt;"")</formula>
    </cfRule>
  </conditionalFormatting>
  <conditionalFormatting sqref="I4878:L4883 I4887:L4887 I4890:L4906 I4907:J4907 L4907">
    <cfRule type="expression" dxfId="4" priority="31">
      <formula>AND(NOT(HasFormula(E4879)),E4879&lt;&gt;"")</formula>
    </cfRule>
    <cfRule type="expression" dxfId="3" priority="32">
      <formula>AND(NOT(HasFormula(A4878)),A4878&lt;&gt;"")</formula>
    </cfRule>
  </conditionalFormatting>
  <conditionalFormatting sqref="L4878:O4907">
    <cfRule type="containsText" dxfId="1" priority="22" operator="between" text="送货车型9.6米">
      <formula>NOT(ISERROR(SEARCH("送货车型9.6米",L4878)))</formula>
    </cfRule>
  </conditionalFormatting>
  <conditionalFormatting sqref="I4884:L4886">
    <cfRule type="expression" dxfId="4" priority="9173">
      <formula>AND(NOT(HasFormula(E4887)),E4887&lt;&gt;"")</formula>
    </cfRule>
    <cfRule type="expression" dxfId="3" priority="9174">
      <formula>AND(NOT(HasFormula(A4884)),A4884&lt;&gt;"")</formula>
    </cfRule>
  </conditionalFormatting>
  <conditionalFormatting sqref="I4888:L4889">
    <cfRule type="expression" dxfId="4" priority="9180">
      <formula>AND(NOT(HasFormula(E4890)),E4890&lt;&gt;"")</formula>
    </cfRule>
    <cfRule type="expression" dxfId="3" priority="9181">
      <formula>AND(NOT(HasFormula(A4888)),A4888&lt;&gt;"")</formula>
    </cfRule>
  </conditionalFormatting>
  <conditionalFormatting sqref="I5027:L5028">
    <cfRule type="expression" dxfId="4" priority="9222">
      <formula>AND(NOT(HasFormula(E5029)),E5029&lt;&gt;"")</formula>
    </cfRule>
    <cfRule type="expression" dxfId="3" priority="9223">
      <formula>AND(NOT(HasFormula(A5027)),A5027&lt;&gt;"")</formula>
    </cfRule>
  </conditionalFormatting>
  <conditionalFormatting sqref="I5097:L5098">
    <cfRule type="expression" dxfId="4" priority="9240">
      <formula>AND(NOT(HasFormula(E5100)),E5100&lt;&gt;"")</formula>
    </cfRule>
    <cfRule type="expression" dxfId="3" priority="9241">
      <formula>AND(NOT(HasFormula(A5097)),A5097&lt;&gt;"")</formula>
    </cfRule>
  </conditionalFormatting>
  <conditionalFormatting sqref="D1047522:E1048576">
    <cfRule type="expression" dxfId="4" priority="7661">
      <formula>AND(NOT(HasFormula(XFD1)),XFD1&lt;&gt;"")</formula>
    </cfRule>
    <cfRule type="expression" dxfId="3" priority="7662">
      <formula>AND(NOT(HasFormula(XEZ1047522)),XEZ1047522&lt;&gt;"")</formula>
    </cfRule>
  </conditionalFormatting>
  <conditionalFormatting sqref="I1047528:L1048576">
    <cfRule type="expression" dxfId="4" priority="7763">
      <formula>AND(NOT(HasFormula(E1)),E1&lt;&gt;"")</formula>
    </cfRule>
    <cfRule type="expression" dxfId="3" priority="7764">
      <formula>AND(NOT(HasFormula(A1047528)),A1047528&lt;&gt;"")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28 J5098 J5099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5013 J5014:J5019 J5020:J5027 J5029:J5097 J5100:J5103 J5104: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28 F5098 F5099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5013 F5014:F5019 F5020:F5027 F5029:F5097 F5100:F5103 F5104: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28" workbookViewId="0">
      <pane xSplit="2" topLeftCell="D1" activePane="topRight" state="frozen"/>
      <selection/>
      <selection pane="topRight" activeCell="G43" sqref="G43"/>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243</v>
      </c>
      <c r="F1" s="35" t="s">
        <v>244</v>
      </c>
      <c r="G1" s="34" t="s">
        <v>7</v>
      </c>
      <c r="H1" s="35" t="s">
        <v>8</v>
      </c>
      <c r="I1" s="35" t="s">
        <v>9</v>
      </c>
      <c r="J1" s="35" t="s">
        <v>245</v>
      </c>
      <c r="K1" s="32" t="s">
        <v>2</v>
      </c>
      <c r="L1" s="47" t="s">
        <v>246</v>
      </c>
      <c r="M1" s="32" t="s">
        <v>15</v>
      </c>
    </row>
    <row r="2" spans="1:13">
      <c r="A2" s="36" t="s">
        <v>57</v>
      </c>
      <c r="B2" s="36" t="s">
        <v>247</v>
      </c>
      <c r="C2" s="37"/>
      <c r="D2" s="38" t="s">
        <v>248</v>
      </c>
      <c r="E2" s="39" t="s">
        <v>248</v>
      </c>
      <c r="F2" s="40" t="s">
        <v>249</v>
      </c>
      <c r="G2" s="39" t="s">
        <v>250</v>
      </c>
      <c r="H2" s="40" t="s">
        <v>251</v>
      </c>
      <c r="I2" s="40">
        <v>18980927613</v>
      </c>
      <c r="J2" s="45" t="s">
        <v>252</v>
      </c>
      <c r="K2" s="48"/>
      <c r="L2" s="47"/>
      <c r="M2" s="47"/>
    </row>
    <row r="3" spans="1:13">
      <c r="A3" s="36" t="s">
        <v>53</v>
      </c>
      <c r="B3" s="36" t="s">
        <v>247</v>
      </c>
      <c r="C3" s="37"/>
      <c r="D3" s="38" t="s">
        <v>253</v>
      </c>
      <c r="E3" s="39" t="s">
        <v>253</v>
      </c>
      <c r="F3" s="40" t="s">
        <v>254</v>
      </c>
      <c r="G3" s="39" t="s">
        <v>255</v>
      </c>
      <c r="H3" s="40" t="s">
        <v>256</v>
      </c>
      <c r="I3" s="40">
        <v>18308463588</v>
      </c>
      <c r="J3" s="45" t="s">
        <v>257</v>
      </c>
      <c r="K3" s="48"/>
      <c r="L3" s="47"/>
      <c r="M3" s="47"/>
    </row>
    <row r="4" spans="1:13">
      <c r="A4" s="36" t="s">
        <v>51</v>
      </c>
      <c r="B4" s="36" t="s">
        <v>247</v>
      </c>
      <c r="C4" s="37"/>
      <c r="D4" s="38" t="s">
        <v>258</v>
      </c>
      <c r="E4" s="39" t="s">
        <v>258</v>
      </c>
      <c r="F4" s="40" t="s">
        <v>259</v>
      </c>
      <c r="G4" s="41" t="s">
        <v>260</v>
      </c>
      <c r="H4" s="40" t="s">
        <v>261</v>
      </c>
      <c r="I4" s="40">
        <v>18683358310</v>
      </c>
      <c r="J4" s="45" t="s">
        <v>262</v>
      </c>
      <c r="K4" s="48"/>
      <c r="L4" s="47"/>
      <c r="M4" s="47"/>
    </row>
    <row r="5" spans="1:13">
      <c r="A5" s="36" t="s">
        <v>61</v>
      </c>
      <c r="B5" s="36" t="s">
        <v>247</v>
      </c>
      <c r="C5" s="37"/>
      <c r="D5" s="38" t="s">
        <v>44</v>
      </c>
      <c r="E5" s="39" t="s">
        <v>44</v>
      </c>
      <c r="F5" s="40" t="s">
        <v>263</v>
      </c>
      <c r="G5" s="39" t="s">
        <v>264</v>
      </c>
      <c r="H5" s="40" t="s">
        <v>265</v>
      </c>
      <c r="I5" s="40">
        <v>18384145895</v>
      </c>
      <c r="J5" s="45" t="s">
        <v>266</v>
      </c>
      <c r="K5" s="49" t="s">
        <v>267</v>
      </c>
      <c r="L5" s="47"/>
      <c r="M5" s="39" t="s">
        <v>268</v>
      </c>
    </row>
    <row r="6" spans="1:13">
      <c r="A6" s="40"/>
      <c r="B6" s="40"/>
      <c r="C6" s="37"/>
      <c r="D6" s="38" t="s">
        <v>81</v>
      </c>
      <c r="E6" s="39" t="s">
        <v>81</v>
      </c>
      <c r="F6" s="40" t="s">
        <v>269</v>
      </c>
      <c r="G6" s="39" t="s">
        <v>270</v>
      </c>
      <c r="H6" s="40" t="s">
        <v>271</v>
      </c>
      <c r="I6" s="40">
        <v>15884666220</v>
      </c>
      <c r="J6" s="45" t="s">
        <v>272</v>
      </c>
      <c r="K6" s="49" t="s">
        <v>273</v>
      </c>
      <c r="L6" s="47"/>
      <c r="M6" s="39" t="s">
        <v>274</v>
      </c>
    </row>
    <row r="7" spans="1:13">
      <c r="A7" s="36" t="s">
        <v>49</v>
      </c>
      <c r="B7" s="36" t="s">
        <v>119</v>
      </c>
      <c r="C7" s="37"/>
      <c r="D7" s="38" t="s">
        <v>275</v>
      </c>
      <c r="E7" s="39" t="s">
        <v>275</v>
      </c>
      <c r="F7" s="40" t="s">
        <v>276</v>
      </c>
      <c r="G7" s="39" t="s">
        <v>277</v>
      </c>
      <c r="H7" s="40" t="s">
        <v>278</v>
      </c>
      <c r="I7" s="40">
        <v>18180498749</v>
      </c>
      <c r="J7" s="45" t="s">
        <v>279</v>
      </c>
      <c r="K7" s="50" t="s">
        <v>280</v>
      </c>
      <c r="L7" s="47"/>
      <c r="M7" s="47"/>
    </row>
    <row r="8" spans="1:13">
      <c r="A8" s="36" t="s">
        <v>40</v>
      </c>
      <c r="B8" s="36" t="s">
        <v>119</v>
      </c>
      <c r="C8" s="37"/>
      <c r="D8" s="38" t="s">
        <v>92</v>
      </c>
      <c r="E8" s="39" t="s">
        <v>92</v>
      </c>
      <c r="F8" s="40" t="s">
        <v>281</v>
      </c>
      <c r="G8" s="39" t="s">
        <v>282</v>
      </c>
      <c r="H8" s="40" t="s">
        <v>283</v>
      </c>
      <c r="I8" s="40">
        <v>13458642015</v>
      </c>
      <c r="J8" s="45" t="s">
        <v>284</v>
      </c>
      <c r="K8" s="49" t="s">
        <v>285</v>
      </c>
      <c r="L8" s="47"/>
      <c r="M8" s="39" t="s">
        <v>286</v>
      </c>
    </row>
    <row r="9" spans="1:13">
      <c r="A9" s="36" t="s">
        <v>41</v>
      </c>
      <c r="B9" s="36" t="s">
        <v>119</v>
      </c>
      <c r="C9" s="37"/>
      <c r="D9" s="38" t="s">
        <v>287</v>
      </c>
      <c r="E9" s="42" t="s">
        <v>48</v>
      </c>
      <c r="F9" s="40" t="s">
        <v>281</v>
      </c>
      <c r="G9" s="39" t="str">
        <f>"("&amp;(E9)&amp;")"&amp;"成都市简阳市白金山水库"</f>
        <v>(华西颐海-科创农业生态谷-1号钢筋房)成都市简阳市白金山水库</v>
      </c>
      <c r="H9" s="40" t="s">
        <v>283</v>
      </c>
      <c r="I9" s="40">
        <v>13458642015</v>
      </c>
      <c r="J9" s="45" t="s">
        <v>284</v>
      </c>
      <c r="K9" s="49" t="s">
        <v>288</v>
      </c>
      <c r="L9" s="47"/>
      <c r="M9" s="39" t="s">
        <v>289</v>
      </c>
    </row>
    <row r="10" spans="1:13">
      <c r="A10" s="36" t="s">
        <v>26</v>
      </c>
      <c r="B10" s="36" t="s">
        <v>119</v>
      </c>
      <c r="C10" s="37"/>
      <c r="D10" s="38" t="s">
        <v>287</v>
      </c>
      <c r="E10" s="42" t="s">
        <v>290</v>
      </c>
      <c r="F10" s="40" t="s">
        <v>281</v>
      </c>
      <c r="G10" s="39" t="str">
        <f>"("&amp;(E10)&amp;")"&amp;"成都市简阳市白金山水库"</f>
        <v>(华西颐海-科创农业生态谷-2号钢筋房)成都市简阳市白金山水库</v>
      </c>
      <c r="H10" s="40" t="s">
        <v>283</v>
      </c>
      <c r="I10" s="40">
        <v>13458642015</v>
      </c>
      <c r="J10" s="45" t="s">
        <v>284</v>
      </c>
      <c r="K10" s="49" t="s">
        <v>288</v>
      </c>
      <c r="L10" s="47"/>
      <c r="M10" s="39" t="s">
        <v>289</v>
      </c>
    </row>
    <row r="11" spans="1:13">
      <c r="A11" s="36"/>
      <c r="B11" s="36"/>
      <c r="C11" s="37"/>
      <c r="D11" s="38" t="s">
        <v>291</v>
      </c>
      <c r="E11" s="39" t="s">
        <v>291</v>
      </c>
      <c r="F11" s="40" t="s">
        <v>292</v>
      </c>
      <c r="G11" s="39" t="s">
        <v>293</v>
      </c>
      <c r="H11" s="40" t="s">
        <v>294</v>
      </c>
      <c r="I11" s="40">
        <v>18683201292</v>
      </c>
      <c r="J11" s="45" t="s">
        <v>266</v>
      </c>
      <c r="K11" s="49" t="s">
        <v>295</v>
      </c>
      <c r="L11" s="47"/>
      <c r="M11" s="39" t="s">
        <v>296</v>
      </c>
    </row>
    <row r="12" spans="1:13">
      <c r="A12" s="36" t="s">
        <v>27</v>
      </c>
      <c r="B12" s="36" t="s">
        <v>116</v>
      </c>
      <c r="C12" s="37"/>
      <c r="D12" s="38" t="s">
        <v>297</v>
      </c>
      <c r="E12" s="39" t="s">
        <v>297</v>
      </c>
      <c r="F12" s="40" t="s">
        <v>298</v>
      </c>
      <c r="G12" s="39" t="s">
        <v>299</v>
      </c>
      <c r="H12" s="40" t="s">
        <v>300</v>
      </c>
      <c r="I12" s="40">
        <v>19982812229</v>
      </c>
      <c r="J12" s="45"/>
      <c r="K12" s="49" t="s">
        <v>301</v>
      </c>
      <c r="L12" s="47"/>
      <c r="M12" s="39"/>
    </row>
    <row r="13" spans="1:13">
      <c r="A13" s="36" t="s">
        <v>19</v>
      </c>
      <c r="B13" s="36" t="s">
        <v>116</v>
      </c>
      <c r="C13" s="37"/>
      <c r="D13" s="38" t="s">
        <v>145</v>
      </c>
      <c r="E13" s="39" t="s">
        <v>145</v>
      </c>
      <c r="F13" s="40" t="s">
        <v>302</v>
      </c>
      <c r="G13" s="39" t="s">
        <v>303</v>
      </c>
      <c r="H13" s="40" t="s">
        <v>304</v>
      </c>
      <c r="I13" s="40">
        <v>15528785906</v>
      </c>
      <c r="J13" s="45" t="s">
        <v>305</v>
      </c>
      <c r="K13" s="49" t="s">
        <v>306</v>
      </c>
      <c r="L13" s="47"/>
      <c r="M13" s="39"/>
    </row>
    <row r="14" spans="1:13">
      <c r="A14" s="36" t="s">
        <v>32</v>
      </c>
      <c r="B14" s="36" t="s">
        <v>116</v>
      </c>
      <c r="C14" s="37"/>
      <c r="D14" s="38" t="s">
        <v>307</v>
      </c>
      <c r="E14" s="39" t="s">
        <v>47</v>
      </c>
      <c r="F14" s="40" t="s">
        <v>308</v>
      </c>
      <c r="G14" s="39" t="s">
        <v>309</v>
      </c>
      <c r="H14" s="43" t="s">
        <v>310</v>
      </c>
      <c r="I14" s="40">
        <v>15108211617</v>
      </c>
      <c r="J14" s="45" t="s">
        <v>311</v>
      </c>
      <c r="K14" s="49" t="s">
        <v>312</v>
      </c>
      <c r="L14" s="47"/>
      <c r="M14" s="39" t="s">
        <v>313</v>
      </c>
    </row>
    <row r="15" spans="1:13">
      <c r="A15" s="36" t="s">
        <v>30</v>
      </c>
      <c r="B15" s="36" t="s">
        <v>116</v>
      </c>
      <c r="C15" s="37"/>
      <c r="D15" s="38" t="s">
        <v>307</v>
      </c>
      <c r="E15" s="39" t="s">
        <v>68</v>
      </c>
      <c r="F15" s="40" t="s">
        <v>308</v>
      </c>
      <c r="G15" s="39" t="s">
        <v>314</v>
      </c>
      <c r="H15" s="43" t="s">
        <v>315</v>
      </c>
      <c r="I15" s="40">
        <v>18381899787</v>
      </c>
      <c r="J15" s="45" t="s">
        <v>311</v>
      </c>
      <c r="K15" s="49" t="s">
        <v>312</v>
      </c>
      <c r="L15" s="47"/>
      <c r="M15" s="39" t="s">
        <v>313</v>
      </c>
    </row>
    <row r="16" spans="1:13">
      <c r="A16" s="36" t="s">
        <v>33</v>
      </c>
      <c r="B16" s="36" t="s">
        <v>116</v>
      </c>
      <c r="C16" s="37"/>
      <c r="D16" s="38" t="s">
        <v>307</v>
      </c>
      <c r="E16" s="39" t="s">
        <v>232</v>
      </c>
      <c r="F16" s="40" t="s">
        <v>308</v>
      </c>
      <c r="G16" s="39" t="s">
        <v>316</v>
      </c>
      <c r="H16" s="43" t="s">
        <v>315</v>
      </c>
      <c r="I16" s="40">
        <v>18381899787</v>
      </c>
      <c r="J16" s="45" t="s">
        <v>311</v>
      </c>
      <c r="K16" s="49" t="s">
        <v>312</v>
      </c>
      <c r="L16" s="47"/>
      <c r="M16" s="39" t="s">
        <v>313</v>
      </c>
    </row>
    <row r="17" spans="1:13">
      <c r="A17" s="36" t="s">
        <v>28</v>
      </c>
      <c r="B17" s="36" t="s">
        <v>116</v>
      </c>
      <c r="C17" s="37"/>
      <c r="D17" s="38" t="s">
        <v>307</v>
      </c>
      <c r="E17" s="39" t="s">
        <v>159</v>
      </c>
      <c r="F17" s="40" t="s">
        <v>308</v>
      </c>
      <c r="G17" s="39" t="s">
        <v>317</v>
      </c>
      <c r="H17" s="43" t="s">
        <v>310</v>
      </c>
      <c r="I17" s="40">
        <v>15108211617</v>
      </c>
      <c r="J17" s="45" t="s">
        <v>311</v>
      </c>
      <c r="K17" s="49" t="s">
        <v>312</v>
      </c>
      <c r="L17" s="47"/>
      <c r="M17" s="39" t="s">
        <v>313</v>
      </c>
    </row>
    <row r="18" spans="1:13">
      <c r="A18" s="36" t="s">
        <v>18</v>
      </c>
      <c r="B18" s="36" t="s">
        <v>116</v>
      </c>
      <c r="C18" s="37"/>
      <c r="D18" s="38" t="s">
        <v>307</v>
      </c>
      <c r="E18" s="39" t="s">
        <v>69</v>
      </c>
      <c r="F18" s="40" t="s">
        <v>308</v>
      </c>
      <c r="G18" s="39" t="s">
        <v>318</v>
      </c>
      <c r="H18" s="43" t="s">
        <v>319</v>
      </c>
      <c r="I18" s="40">
        <v>18381904567</v>
      </c>
      <c r="J18" s="45" t="s">
        <v>311</v>
      </c>
      <c r="K18" s="49" t="s">
        <v>312</v>
      </c>
      <c r="L18" s="47"/>
      <c r="M18" s="39" t="s">
        <v>313</v>
      </c>
    </row>
    <row r="19" spans="1:13">
      <c r="A19" s="36" t="s">
        <v>65</v>
      </c>
      <c r="B19" s="36" t="s">
        <v>116</v>
      </c>
      <c r="C19" s="37"/>
      <c r="D19" s="38" t="s">
        <v>307</v>
      </c>
      <c r="E19" s="39" t="s">
        <v>179</v>
      </c>
      <c r="F19" s="40" t="s">
        <v>308</v>
      </c>
      <c r="G19" s="39" t="s">
        <v>320</v>
      </c>
      <c r="H19" s="43" t="s">
        <v>319</v>
      </c>
      <c r="I19" s="40">
        <v>18381904567</v>
      </c>
      <c r="J19" s="45" t="s">
        <v>311</v>
      </c>
      <c r="K19" s="49" t="s">
        <v>312</v>
      </c>
      <c r="L19" s="47"/>
      <c r="M19" s="39" t="s">
        <v>313</v>
      </c>
    </row>
    <row r="20" ht="12.95" customHeight="1" spans="1:13">
      <c r="A20" s="36" t="s">
        <v>52</v>
      </c>
      <c r="B20" s="36" t="s">
        <v>116</v>
      </c>
      <c r="C20" s="37"/>
      <c r="D20" s="38" t="s">
        <v>307</v>
      </c>
      <c r="E20" s="39" t="s">
        <v>56</v>
      </c>
      <c r="F20" s="40" t="s">
        <v>308</v>
      </c>
      <c r="G20" s="39" t="s">
        <v>321</v>
      </c>
      <c r="H20" s="43" t="s">
        <v>319</v>
      </c>
      <c r="I20" s="40">
        <v>18381904567</v>
      </c>
      <c r="J20" s="45" t="s">
        <v>311</v>
      </c>
      <c r="K20" s="49" t="s">
        <v>312</v>
      </c>
      <c r="L20" s="47"/>
      <c r="M20" s="39" t="s">
        <v>313</v>
      </c>
    </row>
    <row r="21" ht="12.95" customHeight="1" spans="1:13">
      <c r="A21" s="36"/>
      <c r="B21" s="36"/>
      <c r="C21" s="37"/>
      <c r="D21" s="38" t="s">
        <v>307</v>
      </c>
      <c r="E21" s="39" t="s">
        <v>180</v>
      </c>
      <c r="F21" s="40" t="s">
        <v>308</v>
      </c>
      <c r="G21" s="39" t="s">
        <v>322</v>
      </c>
      <c r="H21" s="43" t="s">
        <v>319</v>
      </c>
      <c r="I21" s="40">
        <v>18381904567</v>
      </c>
      <c r="J21" s="45" t="s">
        <v>311</v>
      </c>
      <c r="K21" s="49" t="s">
        <v>312</v>
      </c>
      <c r="L21" s="47"/>
      <c r="M21" s="39" t="s">
        <v>313</v>
      </c>
    </row>
    <row r="22" ht="12.95" customHeight="1" spans="1:13">
      <c r="A22" s="36" t="s">
        <v>111</v>
      </c>
      <c r="B22" s="36" t="s">
        <v>116</v>
      </c>
      <c r="C22" s="37"/>
      <c r="D22" s="38" t="s">
        <v>307</v>
      </c>
      <c r="E22" s="39" t="s">
        <v>163</v>
      </c>
      <c r="F22" s="40" t="s">
        <v>308</v>
      </c>
      <c r="G22" s="39" t="s">
        <v>323</v>
      </c>
      <c r="H22" s="43" t="s">
        <v>319</v>
      </c>
      <c r="I22" s="40">
        <v>18381904567</v>
      </c>
      <c r="J22" s="45" t="s">
        <v>311</v>
      </c>
      <c r="K22" s="49" t="s">
        <v>312</v>
      </c>
      <c r="L22" s="47"/>
      <c r="M22" s="39" t="s">
        <v>313</v>
      </c>
    </row>
    <row r="23" ht="12.95" customHeight="1" spans="1:13">
      <c r="A23" s="36" t="s">
        <v>76</v>
      </c>
      <c r="B23" s="36" t="s">
        <v>116</v>
      </c>
      <c r="C23" s="37"/>
      <c r="D23" s="38" t="s">
        <v>307</v>
      </c>
      <c r="E23" s="39" t="s">
        <v>112</v>
      </c>
      <c r="F23" s="40" t="s">
        <v>308</v>
      </c>
      <c r="G23" s="39" t="s">
        <v>324</v>
      </c>
      <c r="H23" s="43" t="s">
        <v>319</v>
      </c>
      <c r="I23" s="40">
        <v>18381904567</v>
      </c>
      <c r="J23" s="45" t="s">
        <v>311</v>
      </c>
      <c r="K23" s="49" t="s">
        <v>312</v>
      </c>
      <c r="L23" s="47"/>
      <c r="M23" s="39" t="s">
        <v>313</v>
      </c>
    </row>
    <row r="24" spans="1:13">
      <c r="A24" s="36" t="s">
        <v>90</v>
      </c>
      <c r="B24" s="36" t="s">
        <v>116</v>
      </c>
      <c r="C24" s="37"/>
      <c r="D24" s="38" t="s">
        <v>307</v>
      </c>
      <c r="E24" s="39" t="s">
        <v>147</v>
      </c>
      <c r="F24" s="40" t="s">
        <v>308</v>
      </c>
      <c r="G24" s="39" t="s">
        <v>325</v>
      </c>
      <c r="H24" s="43" t="s">
        <v>319</v>
      </c>
      <c r="I24" s="40">
        <v>18381904567</v>
      </c>
      <c r="J24" s="45" t="s">
        <v>311</v>
      </c>
      <c r="K24" s="49" t="s">
        <v>312</v>
      </c>
      <c r="L24" s="47"/>
      <c r="M24" s="39" t="s">
        <v>313</v>
      </c>
    </row>
    <row r="25" spans="1:13">
      <c r="A25" s="36" t="s">
        <v>130</v>
      </c>
      <c r="B25" s="36" t="s">
        <v>116</v>
      </c>
      <c r="C25" s="37"/>
      <c r="D25" s="38" t="s">
        <v>326</v>
      </c>
      <c r="E25" s="39" t="s">
        <v>326</v>
      </c>
      <c r="F25" s="40" t="s">
        <v>327</v>
      </c>
      <c r="G25" s="39" t="s">
        <v>328</v>
      </c>
      <c r="H25" s="40" t="s">
        <v>329</v>
      </c>
      <c r="I25" s="40">
        <v>15283947738</v>
      </c>
      <c r="J25" s="45" t="s">
        <v>330</v>
      </c>
      <c r="K25" s="49" t="s">
        <v>331</v>
      </c>
      <c r="L25" s="47"/>
      <c r="M25" s="39" t="s">
        <v>332</v>
      </c>
    </row>
    <row r="26" spans="1:13">
      <c r="A26" s="36" t="s">
        <v>138</v>
      </c>
      <c r="B26" s="36" t="s">
        <v>116</v>
      </c>
      <c r="C26" s="37"/>
      <c r="D26" s="38" t="s">
        <v>333</v>
      </c>
      <c r="E26" s="39" t="s">
        <v>31</v>
      </c>
      <c r="F26" s="40" t="s">
        <v>308</v>
      </c>
      <c r="G26" s="39" t="s">
        <v>334</v>
      </c>
      <c r="H26" s="40" t="s">
        <v>335</v>
      </c>
      <c r="I26" s="40">
        <v>15692885305</v>
      </c>
      <c r="J26" s="45" t="s">
        <v>38</v>
      </c>
      <c r="K26" s="49" t="s">
        <v>336</v>
      </c>
      <c r="L26" s="47"/>
      <c r="M26" s="39" t="s">
        <v>337</v>
      </c>
    </row>
    <row r="27" spans="1:13">
      <c r="A27" s="36" t="s">
        <v>133</v>
      </c>
      <c r="B27" s="36" t="s">
        <v>116</v>
      </c>
      <c r="C27" s="37"/>
      <c r="D27" s="44" t="s">
        <v>338</v>
      </c>
      <c r="E27" s="39" t="s">
        <v>106</v>
      </c>
      <c r="F27" s="40" t="s">
        <v>339</v>
      </c>
      <c r="G27" s="39" t="s">
        <v>122</v>
      </c>
      <c r="H27" s="40" t="s">
        <v>123</v>
      </c>
      <c r="I27" s="40">
        <v>15228205853</v>
      </c>
      <c r="J27" s="45" t="s">
        <v>124</v>
      </c>
      <c r="K27" s="50" t="s">
        <v>121</v>
      </c>
      <c r="L27" s="47"/>
      <c r="M27" s="39" t="s">
        <v>340</v>
      </c>
    </row>
    <row r="28" spans="1:13">
      <c r="A28" s="36" t="s">
        <v>91</v>
      </c>
      <c r="B28" s="36" t="s">
        <v>116</v>
      </c>
      <c r="C28" s="37"/>
      <c r="D28" s="44" t="s">
        <v>338</v>
      </c>
      <c r="E28" s="39" t="s">
        <v>107</v>
      </c>
      <c r="F28" s="40" t="s">
        <v>339</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340</v>
      </c>
    </row>
    <row r="29" spans="1:13">
      <c r="A29" s="36" t="s">
        <v>77</v>
      </c>
      <c r="B29" s="36" t="s">
        <v>116</v>
      </c>
      <c r="C29" s="37"/>
      <c r="D29" s="44" t="s">
        <v>338</v>
      </c>
      <c r="E29" s="39" t="s">
        <v>155</v>
      </c>
      <c r="F29" s="40" t="s">
        <v>339</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340</v>
      </c>
    </row>
    <row r="30" spans="1:13">
      <c r="A30" s="36" t="s">
        <v>86</v>
      </c>
      <c r="B30" s="36" t="s">
        <v>116</v>
      </c>
      <c r="C30" s="37"/>
      <c r="D30" s="44" t="s">
        <v>338</v>
      </c>
      <c r="E30" s="39" t="s">
        <v>171</v>
      </c>
      <c r="F30" s="40" t="s">
        <v>339</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340</v>
      </c>
    </row>
    <row r="31" spans="1:13">
      <c r="A31" s="40"/>
      <c r="B31" s="40"/>
      <c r="C31" s="37"/>
      <c r="D31" s="38" t="s">
        <v>341</v>
      </c>
      <c r="E31" s="45" t="s">
        <v>17</v>
      </c>
      <c r="F31" s="40" t="s">
        <v>342</v>
      </c>
      <c r="G31" s="39" t="s">
        <v>343</v>
      </c>
      <c r="H31" s="40" t="s">
        <v>344</v>
      </c>
      <c r="I31" s="40">
        <v>13658059919</v>
      </c>
      <c r="J31" s="45" t="s">
        <v>345</v>
      </c>
      <c r="K31" s="50" t="s">
        <v>346</v>
      </c>
      <c r="L31" s="50" t="s">
        <v>347</v>
      </c>
      <c r="M31" s="39" t="s">
        <v>348</v>
      </c>
    </row>
    <row r="32" spans="1:13">
      <c r="A32" s="36" t="s">
        <v>66</v>
      </c>
      <c r="B32" s="36" t="s">
        <v>116</v>
      </c>
      <c r="C32" s="37"/>
      <c r="D32" s="38" t="s">
        <v>341</v>
      </c>
      <c r="E32" s="45" t="s">
        <v>39</v>
      </c>
      <c r="F32" s="40" t="s">
        <v>342</v>
      </c>
      <c r="G32" s="39" t="s">
        <v>349</v>
      </c>
      <c r="H32" s="40" t="s">
        <v>344</v>
      </c>
      <c r="I32" s="40">
        <v>13658059919</v>
      </c>
      <c r="J32" s="45" t="s">
        <v>345</v>
      </c>
      <c r="K32" s="49" t="s">
        <v>346</v>
      </c>
      <c r="L32" s="50" t="s">
        <v>347</v>
      </c>
      <c r="M32" s="39" t="s">
        <v>348</v>
      </c>
    </row>
    <row r="33" spans="1:13">
      <c r="A33" s="36" t="s">
        <v>82</v>
      </c>
      <c r="B33" s="36" t="s">
        <v>116</v>
      </c>
      <c r="C33" s="37"/>
      <c r="D33" s="38" t="s">
        <v>341</v>
      </c>
      <c r="E33" s="45" t="s">
        <v>43</v>
      </c>
      <c r="F33" s="40" t="s">
        <v>342</v>
      </c>
      <c r="G33" s="39" t="s">
        <v>350</v>
      </c>
      <c r="H33" s="40" t="s">
        <v>351</v>
      </c>
      <c r="I33" s="40">
        <v>15982487227</v>
      </c>
      <c r="J33" s="45" t="s">
        <v>345</v>
      </c>
      <c r="K33" s="49" t="s">
        <v>346</v>
      </c>
      <c r="L33" s="50" t="s">
        <v>347</v>
      </c>
      <c r="M33" s="39" t="s">
        <v>348</v>
      </c>
    </row>
    <row r="34" spans="1:13">
      <c r="A34" s="36" t="s">
        <v>45</v>
      </c>
      <c r="B34" s="36" t="s">
        <v>116</v>
      </c>
      <c r="C34" s="37"/>
      <c r="D34" s="38" t="s">
        <v>341</v>
      </c>
      <c r="E34" s="45" t="s">
        <v>104</v>
      </c>
      <c r="F34" s="40" t="s">
        <v>342</v>
      </c>
      <c r="G34" s="39" t="s">
        <v>352</v>
      </c>
      <c r="H34" s="40" t="s">
        <v>351</v>
      </c>
      <c r="I34" s="40">
        <v>15982487227</v>
      </c>
      <c r="J34" s="45" t="s">
        <v>345</v>
      </c>
      <c r="K34" s="49" t="s">
        <v>346</v>
      </c>
      <c r="L34" s="50" t="s">
        <v>347</v>
      </c>
      <c r="M34" s="39" t="s">
        <v>348</v>
      </c>
    </row>
    <row r="35" spans="1:13">
      <c r="A35" s="36" t="s">
        <v>21</v>
      </c>
      <c r="B35" s="36" t="s">
        <v>116</v>
      </c>
      <c r="C35" s="37"/>
      <c r="D35" s="44" t="s">
        <v>150</v>
      </c>
      <c r="E35" s="39" t="s">
        <v>150</v>
      </c>
      <c r="F35" s="40" t="s">
        <v>353</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354</v>
      </c>
      <c r="I35" s="43">
        <v>19130850820</v>
      </c>
      <c r="J35" s="45" t="s">
        <v>355</v>
      </c>
      <c r="K35" s="50" t="s">
        <v>356</v>
      </c>
      <c r="L35" s="47"/>
      <c r="M35" s="39" t="s">
        <v>357</v>
      </c>
    </row>
    <row r="36" spans="1:13">
      <c r="A36" s="36" t="s">
        <v>58</v>
      </c>
      <c r="B36" s="36" t="s">
        <v>116</v>
      </c>
      <c r="C36" s="37"/>
      <c r="D36" s="44" t="s">
        <v>150</v>
      </c>
      <c r="E36" s="39" t="s">
        <v>150</v>
      </c>
      <c r="F36" s="40" t="s">
        <v>353</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358</v>
      </c>
      <c r="I36" s="43">
        <v>18208257412</v>
      </c>
      <c r="J36" s="45" t="s">
        <v>355</v>
      </c>
      <c r="K36" s="50" t="s">
        <v>356</v>
      </c>
      <c r="L36" s="47"/>
      <c r="M36" s="39" t="s">
        <v>357</v>
      </c>
    </row>
    <row r="37" s="25" customFormat="1" spans="1:13">
      <c r="A37" s="36" t="s">
        <v>46</v>
      </c>
      <c r="B37" s="36" t="s">
        <v>116</v>
      </c>
      <c r="C37" s="37"/>
      <c r="D37" s="46" t="s">
        <v>128</v>
      </c>
      <c r="E37" s="39" t="s">
        <v>132</v>
      </c>
      <c r="F37" s="40" t="s">
        <v>359</v>
      </c>
      <c r="G37" s="39" t="str">
        <f t="shared" ref="G37:G47" si="0">"("&amp;E37&amp;")"&amp;"宜宾市翠屏区宜宾汽车零部件配套产业基地(纬五路南)"</f>
        <v>(宜宾兴港三江新区长江工业园建设项目-9#厂房)宜宾市翠屏区宜宾汽车零部件配套产业基地(纬五路南)</v>
      </c>
      <c r="H37" s="40" t="s">
        <v>360</v>
      </c>
      <c r="I37" s="40">
        <v>15924731822</v>
      </c>
      <c r="J37" s="51" t="s">
        <v>355</v>
      </c>
      <c r="K37" s="52" t="s">
        <v>361</v>
      </c>
      <c r="L37" s="53"/>
      <c r="M37" s="39" t="s">
        <v>362</v>
      </c>
    </row>
    <row r="38" s="25" customFormat="1" spans="1:13">
      <c r="A38" s="36" t="s">
        <v>22</v>
      </c>
      <c r="B38" s="36" t="s">
        <v>116</v>
      </c>
      <c r="C38" s="37"/>
      <c r="D38" s="44" t="s">
        <v>128</v>
      </c>
      <c r="E38" s="39" t="s">
        <v>135</v>
      </c>
      <c r="F38" s="40" t="s">
        <v>359</v>
      </c>
      <c r="G38" s="39" t="str">
        <f t="shared" si="0"/>
        <v>(宜宾兴港三江新区长江工业园建设项目-M2-2#厂房)宜宾市翠屏区宜宾汽车零部件配套产业基地(纬五路南)</v>
      </c>
      <c r="H38" s="40" t="s">
        <v>363</v>
      </c>
      <c r="I38" s="40">
        <v>17713876279</v>
      </c>
      <c r="J38" s="51" t="s">
        <v>355</v>
      </c>
      <c r="K38" s="52" t="s">
        <v>361</v>
      </c>
      <c r="L38" s="53"/>
      <c r="M38" s="39" t="s">
        <v>362</v>
      </c>
    </row>
    <row r="39" s="25" customFormat="1" spans="1:13">
      <c r="A39" s="36" t="s">
        <v>181</v>
      </c>
      <c r="B39" s="36" t="s">
        <v>116</v>
      </c>
      <c r="C39" s="37"/>
      <c r="D39" s="44" t="s">
        <v>128</v>
      </c>
      <c r="E39" s="39" t="s">
        <v>136</v>
      </c>
      <c r="F39" s="40" t="s">
        <v>359</v>
      </c>
      <c r="G39" s="39" t="str">
        <f t="shared" si="0"/>
        <v>(宜宾兴港三江新区长江工业园建设项目-M2-00-04桩)宜宾市翠屏区宜宾汽车零部件配套产业基地(纬五路南)</v>
      </c>
      <c r="H39" s="40" t="s">
        <v>363</v>
      </c>
      <c r="I39" s="40">
        <v>17713876279</v>
      </c>
      <c r="J39" s="51" t="s">
        <v>355</v>
      </c>
      <c r="K39" s="52" t="s">
        <v>361</v>
      </c>
      <c r="L39" s="53"/>
      <c r="M39" s="39" t="s">
        <v>362</v>
      </c>
    </row>
    <row r="40" s="25" customFormat="1" spans="1:13">
      <c r="A40" s="36" t="s">
        <v>182</v>
      </c>
      <c r="B40" s="36" t="s">
        <v>116</v>
      </c>
      <c r="C40" s="37"/>
      <c r="D40" s="44" t="s">
        <v>128</v>
      </c>
      <c r="E40" s="39" t="s">
        <v>364</v>
      </c>
      <c r="F40" s="40" t="s">
        <v>359</v>
      </c>
      <c r="G40" s="39" t="str">
        <f t="shared" si="0"/>
        <v>(宜宾兴港三江新区长江工业园建设项目-M2-3#厂房)宜宾市翠屏区宜宾汽车零部件配套产业基地(纬五路南)</v>
      </c>
      <c r="H40" s="40" t="s">
        <v>363</v>
      </c>
      <c r="I40" s="40">
        <v>17713876279</v>
      </c>
      <c r="J40" s="51" t="s">
        <v>355</v>
      </c>
      <c r="K40" s="52" t="s">
        <v>361</v>
      </c>
      <c r="L40" s="53"/>
      <c r="M40" s="39" t="s">
        <v>362</v>
      </c>
    </row>
    <row r="41" s="25" customFormat="1" spans="1:13">
      <c r="A41" s="40"/>
      <c r="B41" s="40"/>
      <c r="C41" s="37"/>
      <c r="D41" s="44" t="s">
        <v>128</v>
      </c>
      <c r="E41" s="39" t="s">
        <v>153</v>
      </c>
      <c r="F41" s="40" t="s">
        <v>359</v>
      </c>
      <c r="G41" s="39" t="str">
        <f t="shared" si="0"/>
        <v>(宜宾兴港三江新区长江工业园建设项目-M2-4#厂房)宜宾市翠屏区宜宾汽车零部件配套产业基地(纬五路南)</v>
      </c>
      <c r="H41" s="40" t="s">
        <v>363</v>
      </c>
      <c r="I41" s="40">
        <v>17713876279</v>
      </c>
      <c r="J41" s="51" t="s">
        <v>355</v>
      </c>
      <c r="K41" s="52" t="s">
        <v>361</v>
      </c>
      <c r="L41" s="53"/>
      <c r="M41" s="39" t="s">
        <v>362</v>
      </c>
    </row>
    <row r="42" s="25" customFormat="1" spans="1:13">
      <c r="A42" s="36" t="s">
        <v>205</v>
      </c>
      <c r="B42" s="36" t="s">
        <v>116</v>
      </c>
      <c r="C42" s="37"/>
      <c r="D42" s="44" t="s">
        <v>128</v>
      </c>
      <c r="E42" s="39" t="s">
        <v>154</v>
      </c>
      <c r="F42" s="40" t="s">
        <v>359</v>
      </c>
      <c r="G42" s="39" t="str">
        <f t="shared" si="0"/>
        <v>(宜宾兴港三江新区长江工业园建设项目-M2-5#厂房)宜宾市翠屏区宜宾汽车零部件配套产业基地(纬五路南)</v>
      </c>
      <c r="H42" s="40" t="s">
        <v>363</v>
      </c>
      <c r="I42" s="40">
        <v>17713876279</v>
      </c>
      <c r="J42" s="51" t="s">
        <v>355</v>
      </c>
      <c r="K42" s="52" t="s">
        <v>361</v>
      </c>
      <c r="L42" s="53"/>
      <c r="M42" s="39" t="s">
        <v>362</v>
      </c>
    </row>
    <row r="43" s="25" customFormat="1" spans="1:13">
      <c r="A43" s="36" t="s">
        <v>140</v>
      </c>
      <c r="B43" s="36" t="s">
        <v>116</v>
      </c>
      <c r="C43" s="37"/>
      <c r="D43" s="44" t="s">
        <v>128</v>
      </c>
      <c r="E43" s="39" t="s">
        <v>137</v>
      </c>
      <c r="F43" s="40" t="s">
        <v>359</v>
      </c>
      <c r="G43" s="39" t="str">
        <f t="shared" si="0"/>
        <v>(宜宾兴港三江新区长江工业园建设项目-M2-6#厂房)宜宾市翠屏区宜宾汽车零部件配套产业基地(纬五路南)</v>
      </c>
      <c r="H43" s="40" t="s">
        <v>363</v>
      </c>
      <c r="I43" s="40">
        <v>17713876279</v>
      </c>
      <c r="J43" s="51" t="s">
        <v>355</v>
      </c>
      <c r="K43" s="52" t="s">
        <v>361</v>
      </c>
      <c r="L43" s="53"/>
      <c r="M43" s="39" t="s">
        <v>362</v>
      </c>
    </row>
    <row r="44" s="25" customFormat="1" spans="1:13">
      <c r="A44" s="36" t="s">
        <v>197</v>
      </c>
      <c r="B44" s="36" t="s">
        <v>116</v>
      </c>
      <c r="C44" s="37"/>
      <c r="D44" s="44" t="s">
        <v>128</v>
      </c>
      <c r="E44" s="39" t="s">
        <v>139</v>
      </c>
      <c r="F44" s="40" t="s">
        <v>359</v>
      </c>
      <c r="G44" s="39" t="str">
        <f t="shared" si="0"/>
        <v>(宜宾兴港三江新区长江工业园建设项目-M2-7#厂房)宜宾市翠屏区宜宾汽车零部件配套产业基地(纬五路南)</v>
      </c>
      <c r="H44" s="40" t="s">
        <v>363</v>
      </c>
      <c r="I44" s="40">
        <v>17713876279</v>
      </c>
      <c r="J44" s="51" t="s">
        <v>355</v>
      </c>
      <c r="K44" s="52" t="s">
        <v>361</v>
      </c>
      <c r="L44" s="53"/>
      <c r="M44" s="39" t="s">
        <v>362</v>
      </c>
    </row>
    <row r="45" s="25" customFormat="1" spans="1:13">
      <c r="A45" s="36" t="s">
        <v>198</v>
      </c>
      <c r="B45" s="36" t="s">
        <v>116</v>
      </c>
      <c r="C45" s="27"/>
      <c r="D45" s="44" t="s">
        <v>128</v>
      </c>
      <c r="E45" s="39" t="s">
        <v>131</v>
      </c>
      <c r="F45" s="40" t="s">
        <v>359</v>
      </c>
      <c r="G45" s="39" t="str">
        <f t="shared" si="0"/>
        <v>(宜宾兴港三江新区长江工业园建设项目-11#厂房)宜宾市翠屏区宜宾汽车零部件配套产业基地(纬五路南)</v>
      </c>
      <c r="H45" s="40" t="s">
        <v>360</v>
      </c>
      <c r="I45" s="40">
        <v>15924731822</v>
      </c>
      <c r="J45" s="51" t="s">
        <v>355</v>
      </c>
      <c r="K45" s="52" t="s">
        <v>361</v>
      </c>
      <c r="L45" s="53"/>
      <c r="M45" s="39" t="s">
        <v>362</v>
      </c>
    </row>
    <row r="46" s="25" customFormat="1" spans="1:13">
      <c r="A46" s="36" t="s">
        <v>199</v>
      </c>
      <c r="B46" s="36" t="s">
        <v>116</v>
      </c>
      <c r="C46" s="27"/>
      <c r="D46" s="44" t="s">
        <v>128</v>
      </c>
      <c r="E46" s="39" t="s">
        <v>365</v>
      </c>
      <c r="F46" s="40" t="s">
        <v>359</v>
      </c>
      <c r="G46" s="39" t="str">
        <f t="shared" si="0"/>
        <v>(宜宾兴港三江新区长江工业园建设项目-3#8#9#承台)宜宾市翠屏区宜宾汽车零部件配套产业基地(纬五路南)</v>
      </c>
      <c r="H46" s="40" t="s">
        <v>360</v>
      </c>
      <c r="I46" s="40">
        <v>15924731822</v>
      </c>
      <c r="J46" s="51" t="s">
        <v>355</v>
      </c>
      <c r="K46" s="52" t="s">
        <v>361</v>
      </c>
      <c r="L46" s="54"/>
      <c r="M46" s="39" t="s">
        <v>362</v>
      </c>
    </row>
    <row r="47" s="25" customFormat="1" spans="1:13">
      <c r="A47" s="36" t="s">
        <v>141</v>
      </c>
      <c r="B47" s="36" t="s">
        <v>116</v>
      </c>
      <c r="C47" s="27"/>
      <c r="D47" s="44" t="s">
        <v>128</v>
      </c>
      <c r="E47" s="39" t="s">
        <v>148</v>
      </c>
      <c r="F47" s="40" t="s">
        <v>359</v>
      </c>
      <c r="G47" s="39" t="str">
        <f t="shared" si="0"/>
        <v>(宜宾兴港三江新区长江工业园建设项目-3#8#土建)宜宾市翠屏区宜宾汽车零部件配套产业基地(纬五路南)</v>
      </c>
      <c r="H47" s="40" t="s">
        <v>360</v>
      </c>
      <c r="I47" s="40">
        <v>15924731822</v>
      </c>
      <c r="J47" s="51" t="s">
        <v>355</v>
      </c>
      <c r="K47" s="52" t="s">
        <v>361</v>
      </c>
      <c r="L47" s="54"/>
      <c r="M47" s="39" t="s">
        <v>362</v>
      </c>
    </row>
    <row r="48" s="25" customFormat="1" spans="1:13">
      <c r="A48" s="36" t="s">
        <v>142</v>
      </c>
      <c r="B48" s="36" t="s">
        <v>116</v>
      </c>
      <c r="C48" s="27"/>
      <c r="D48" s="44" t="s">
        <v>128</v>
      </c>
      <c r="E48" s="39" t="s">
        <v>161</v>
      </c>
      <c r="F48" s="40" t="s">
        <v>366</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367</v>
      </c>
      <c r="I48" s="40">
        <v>13684167136</v>
      </c>
      <c r="J48" s="51" t="s">
        <v>368</v>
      </c>
      <c r="K48" s="52" t="s">
        <v>369</v>
      </c>
      <c r="L48" s="54"/>
      <c r="M48" s="39" t="s">
        <v>370</v>
      </c>
    </row>
    <row r="49" s="25" customFormat="1" spans="1:13">
      <c r="A49" s="36" t="s">
        <v>200</v>
      </c>
      <c r="B49" s="36" t="s">
        <v>116</v>
      </c>
      <c r="C49" s="27"/>
      <c r="D49" s="44" t="s">
        <v>128</v>
      </c>
      <c r="E49" s="39" t="s">
        <v>162</v>
      </c>
      <c r="F49" s="40" t="s">
        <v>366</v>
      </c>
      <c r="G49" s="39" t="str">
        <f t="shared" si="1"/>
        <v>(宜宾兴港三江新区长江工业园保障性租赁住房建设项目-2标)四川省宜宾市翠屏区永善路南段宜宾市三江新区长江工业园区</v>
      </c>
      <c r="H49" s="40" t="s">
        <v>367</v>
      </c>
      <c r="I49" s="40">
        <v>13684167136</v>
      </c>
      <c r="J49" s="51" t="s">
        <v>368</v>
      </c>
      <c r="K49" s="52" t="s">
        <v>369</v>
      </c>
      <c r="L49" s="54"/>
      <c r="M49" s="39" t="s">
        <v>370</v>
      </c>
    </row>
    <row r="50" s="25" customFormat="1" spans="1:13">
      <c r="A50" s="36" t="s">
        <v>201</v>
      </c>
      <c r="B50" s="36" t="s">
        <v>116</v>
      </c>
      <c r="C50" s="27"/>
      <c r="D50" s="44" t="s">
        <v>128</v>
      </c>
      <c r="E50" s="39" t="s">
        <v>194</v>
      </c>
      <c r="F50" s="40" t="s">
        <v>366</v>
      </c>
      <c r="G50" s="39" t="str">
        <f t="shared" si="1"/>
        <v>(宜宾兴港三江新区长江工业园保障性租赁住房建设项目-土建)四川省宜宾市翠屏区永善路南段宜宾市三江新区长江工业园区</v>
      </c>
      <c r="H50" s="40" t="s">
        <v>367</v>
      </c>
      <c r="I50" s="40">
        <v>13684167136</v>
      </c>
      <c r="J50" s="51" t="s">
        <v>368</v>
      </c>
      <c r="K50" s="52" t="s">
        <v>369</v>
      </c>
      <c r="L50" s="54"/>
      <c r="M50" s="39" t="s">
        <v>370</v>
      </c>
    </row>
    <row r="51" s="25" customFormat="1" spans="3:13">
      <c r="C51" s="27"/>
      <c r="D51" s="44" t="s">
        <v>128</v>
      </c>
      <c r="E51" s="39" t="s">
        <v>184</v>
      </c>
      <c r="F51" s="40" t="s">
        <v>366</v>
      </c>
      <c r="G51" s="39" t="str">
        <f t="shared" si="1"/>
        <v>(宜宾兴港三江新区长江工业园保障性租赁住房建设项目-边坡支护)四川省宜宾市翠屏区永善路南段宜宾市三江新区长江工业园区</v>
      </c>
      <c r="H51" s="40" t="s">
        <v>367</v>
      </c>
      <c r="I51" s="40">
        <v>13684167136</v>
      </c>
      <c r="J51" s="51" t="s">
        <v>368</v>
      </c>
      <c r="K51" s="52" t="s">
        <v>369</v>
      </c>
      <c r="L51" s="54"/>
      <c r="M51" s="39" t="s">
        <v>370</v>
      </c>
    </row>
    <row r="52" s="25" customFormat="1" spans="3:13">
      <c r="C52" s="27"/>
      <c r="D52" s="39" t="s">
        <v>371</v>
      </c>
      <c r="E52" s="39" t="s">
        <v>169</v>
      </c>
      <c r="F52" s="40" t="s">
        <v>372</v>
      </c>
      <c r="G52" s="39" t="str">
        <f>"("&amp;E52&amp;")"&amp;"龙泉驿区北川路双堰塘钓鱼东100米(北川路)"</f>
        <v>(五冶建设龙泉芙蓉花语项目-1,3地块)龙泉驿区北川路双堰塘钓鱼东100米(北川路)</v>
      </c>
      <c r="H52" s="40" t="s">
        <v>373</v>
      </c>
      <c r="I52" s="40">
        <v>15583590797</v>
      </c>
      <c r="J52" s="55" t="s">
        <v>374</v>
      </c>
      <c r="K52" s="52" t="s">
        <v>375</v>
      </c>
      <c r="L52" s="54"/>
      <c r="M52" s="39" t="s">
        <v>376</v>
      </c>
    </row>
    <row r="53" s="25" customFormat="1" spans="1:13">
      <c r="A53" s="26"/>
      <c r="B53" s="26"/>
      <c r="C53" s="27"/>
      <c r="D53" s="39" t="s">
        <v>371</v>
      </c>
      <c r="E53" s="39" t="s">
        <v>158</v>
      </c>
      <c r="F53" s="40" t="s">
        <v>372</v>
      </c>
      <c r="G53" s="39" t="str">
        <f>"("&amp;E53&amp;")"&amp;"龙泉驿区北川路双堰塘钓鱼东100米(北川路)"</f>
        <v>(五冶建设龙泉芙蓉花语项目-2地块)龙泉驿区北川路双堰塘钓鱼东100米(北川路)</v>
      </c>
      <c r="H53" s="40" t="s">
        <v>377</v>
      </c>
      <c r="I53" s="40">
        <v>15982002377</v>
      </c>
      <c r="J53" s="55" t="s">
        <v>378</v>
      </c>
      <c r="K53" s="52" t="s">
        <v>375</v>
      </c>
      <c r="L53" s="54"/>
      <c r="M53" s="39" t="s">
        <v>376</v>
      </c>
    </row>
    <row r="54" s="25" customFormat="1" spans="1:13">
      <c r="A54" s="26"/>
      <c r="B54" s="26"/>
      <c r="C54" s="27"/>
      <c r="D54" s="39" t="s">
        <v>167</v>
      </c>
      <c r="E54" s="39" t="s">
        <v>167</v>
      </c>
      <c r="F54" s="40" t="s">
        <v>379</v>
      </c>
      <c r="G54" s="39" t="str">
        <f>"("&amp;E54&amp;")"&amp;"四川省成都市双流区光荣路成都艺体中学南200米"</f>
        <v>(五冶建设扩建艺体中学二期工程)四川省成都市双流区光荣路成都艺体中学南200米</v>
      </c>
      <c r="H54" s="40" t="s">
        <v>380</v>
      </c>
      <c r="I54" s="40">
        <v>13458588232</v>
      </c>
      <c r="J54" s="55" t="s">
        <v>381</v>
      </c>
      <c r="K54" s="52" t="s">
        <v>382</v>
      </c>
      <c r="L54" s="54"/>
      <c r="M54" s="39" t="s">
        <v>376</v>
      </c>
    </row>
    <row r="55" s="25" customFormat="1" spans="1:13">
      <c r="A55" s="26"/>
      <c r="B55" s="26"/>
      <c r="C55" s="27"/>
      <c r="D55" s="39" t="s">
        <v>192</v>
      </c>
      <c r="E55" s="39" t="s">
        <v>192</v>
      </c>
      <c r="F55" s="40" t="s">
        <v>383</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384</v>
      </c>
      <c r="I55" s="40">
        <v>13880580196</v>
      </c>
      <c r="J55" s="55" t="s">
        <v>385</v>
      </c>
      <c r="K55" s="52" t="s">
        <v>386</v>
      </c>
      <c r="L55" s="54"/>
      <c r="M55" s="39" t="s">
        <v>376</v>
      </c>
    </row>
    <row r="56" s="25" customFormat="1" spans="1:13">
      <c r="A56" s="26"/>
      <c r="B56" s="26"/>
      <c r="C56" s="27"/>
      <c r="D56" s="39" t="s">
        <v>196</v>
      </c>
      <c r="E56" s="39" t="s">
        <v>196</v>
      </c>
      <c r="F56" s="40" t="s">
        <v>387</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388</v>
      </c>
      <c r="I56" s="40">
        <v>13980880820</v>
      </c>
      <c r="J56" s="55" t="s">
        <v>389</v>
      </c>
      <c r="K56" s="52" t="s">
        <v>390</v>
      </c>
      <c r="L56" s="54"/>
      <c r="M56" s="39" t="s">
        <v>376</v>
      </c>
    </row>
    <row r="57" s="25" customFormat="1" spans="1:13">
      <c r="A57" s="26"/>
      <c r="B57" s="26"/>
      <c r="C57" s="27"/>
      <c r="D57" s="39" t="s">
        <v>203</v>
      </c>
      <c r="E57" s="39" t="s">
        <v>203</v>
      </c>
      <c r="F57" s="40" t="s">
        <v>391</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392</v>
      </c>
      <c r="I57" s="40">
        <v>15881190525</v>
      </c>
      <c r="J57" s="55" t="s">
        <v>393</v>
      </c>
      <c r="K57" s="52" t="s">
        <v>394</v>
      </c>
      <c r="L57" s="54"/>
      <c r="M57" s="39" t="s">
        <v>376</v>
      </c>
    </row>
    <row r="58" s="25" customFormat="1" spans="1:13">
      <c r="A58" s="26"/>
      <c r="B58" s="26"/>
      <c r="C58" s="27"/>
      <c r="D58" s="39" t="s">
        <v>208</v>
      </c>
      <c r="E58" s="39" t="s">
        <v>208</v>
      </c>
      <c r="F58" s="40" t="s">
        <v>387</v>
      </c>
      <c r="G58" s="39" t="str">
        <f>"("&amp;E58&amp;")"&amp;"锦江区泰昌路锦江28亩项目部"</f>
        <v>(五冶建设锦江区林家坝片区20号地块商业项目)锦江区泰昌路锦江28亩项目部</v>
      </c>
      <c r="H58" s="40" t="s">
        <v>395</v>
      </c>
      <c r="I58" s="40">
        <v>13980247952</v>
      </c>
      <c r="J58" s="55" t="s">
        <v>396</v>
      </c>
      <c r="K58" s="52" t="s">
        <v>397</v>
      </c>
      <c r="L58" s="54"/>
      <c r="M58" s="39" t="s">
        <v>376</v>
      </c>
    </row>
    <row r="59" s="25" customFormat="1" spans="1:13">
      <c r="A59" s="26"/>
      <c r="B59" s="26"/>
      <c r="C59" s="27"/>
      <c r="D59" s="39" t="s">
        <v>211</v>
      </c>
      <c r="E59" s="39" t="s">
        <v>231</v>
      </c>
      <c r="F59" s="40" t="s">
        <v>387</v>
      </c>
      <c r="G59" s="39" t="str">
        <f>"("&amp;E59&amp;")"&amp;"四川省成都市锦江区春熙路街道盐道街4号（盐道街中学初中部）"</f>
        <v>(五冶建设成都盐道街中学初中部改扩建工程-一标)四川省成都市锦江区春熙路街道盐道街4号（盐道街中学初中部）</v>
      </c>
      <c r="H59" s="40" t="s">
        <v>398</v>
      </c>
      <c r="I59" s="40">
        <v>18228465067</v>
      </c>
      <c r="J59" s="55" t="s">
        <v>399</v>
      </c>
      <c r="K59" s="52" t="s">
        <v>400</v>
      </c>
      <c r="L59" s="54"/>
      <c r="M59" s="39" t="s">
        <v>376</v>
      </c>
    </row>
    <row r="60" s="25" customFormat="1" spans="1:13">
      <c r="A60" s="26"/>
      <c r="B60" s="26"/>
      <c r="C60" s="27"/>
      <c r="D60" s="39" t="s">
        <v>211</v>
      </c>
      <c r="E60" s="39" t="s">
        <v>230</v>
      </c>
      <c r="F60" s="40" t="s">
        <v>387</v>
      </c>
      <c r="G60" s="39" t="str">
        <f>"("&amp;E60&amp;")"&amp;"四川省成都市锦江区春熙路街道盐道街4号（盐道街中学初中部）"</f>
        <v>(五冶建设成都盐道街中学初中部改扩建工程-二标)四川省成都市锦江区春熙路街道盐道街4号（盐道街中学初中部）</v>
      </c>
      <c r="H60" s="40" t="s">
        <v>398</v>
      </c>
      <c r="I60" s="40">
        <v>18228465067</v>
      </c>
      <c r="J60" s="55" t="s">
        <v>399</v>
      </c>
      <c r="K60" s="52" t="s">
        <v>400</v>
      </c>
      <c r="L60" s="54"/>
      <c r="M60" s="39" t="s">
        <v>376</v>
      </c>
    </row>
    <row r="61" s="25" customFormat="1" spans="1:13">
      <c r="A61" s="26"/>
      <c r="B61" s="26"/>
      <c r="C61" s="27"/>
      <c r="D61" s="39" t="s">
        <v>215</v>
      </c>
      <c r="E61" s="39" t="s">
        <v>215</v>
      </c>
      <c r="F61" s="40" t="s">
        <v>401</v>
      </c>
      <c r="G61" s="39" t="str">
        <f>"("&amp;E61&amp;")"&amp;"成都市龙泉驿区董朗路69号龙泉驿一医院5号门"</f>
        <v>(五冶建设龙泉驿一医院配套建设工程)成都市龙泉驿区董朗路69号龙泉驿一医院5号门</v>
      </c>
      <c r="H61" s="40" t="s">
        <v>402</v>
      </c>
      <c r="I61" s="40">
        <v>13617695006</v>
      </c>
      <c r="J61" s="55" t="s">
        <v>403</v>
      </c>
      <c r="K61" s="52" t="s">
        <v>404</v>
      </c>
      <c r="L61" s="54"/>
      <c r="M61" s="39" t="s">
        <v>376</v>
      </c>
    </row>
    <row r="62" s="25" customFormat="1" spans="1:13">
      <c r="A62" s="26"/>
      <c r="B62" s="26"/>
      <c r="C62" s="27"/>
      <c r="D62" s="39" t="s">
        <v>405</v>
      </c>
      <c r="E62" s="39" t="s">
        <v>224</v>
      </c>
      <c r="F62" s="40" t="s">
        <v>406</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407</v>
      </c>
      <c r="I62" s="40">
        <v>13540231225</v>
      </c>
      <c r="J62" s="55"/>
      <c r="K62" s="52" t="s">
        <v>408</v>
      </c>
      <c r="L62" s="54"/>
      <c r="M62" s="39" t="s">
        <v>409</v>
      </c>
    </row>
    <row r="63" s="25" customFormat="1" spans="1:13">
      <c r="A63" s="26"/>
      <c r="B63" s="26"/>
      <c r="C63" s="27"/>
      <c r="D63" s="39" t="s">
        <v>405</v>
      </c>
      <c r="E63" s="39" t="s">
        <v>228</v>
      </c>
      <c r="F63" s="40" t="s">
        <v>406</v>
      </c>
      <c r="G63" s="39" t="str">
        <f t="shared" si="2"/>
        <v>(五冶钢构龙泉东洪片区70亩住宅、商业及配套工程项目二标段)成都市龙泉驿外东洪路地铁2号线惠王陵地铁C口</v>
      </c>
      <c r="H63" s="40" t="s">
        <v>410</v>
      </c>
      <c r="I63" s="40">
        <v>15014331252</v>
      </c>
      <c r="J63" s="55"/>
      <c r="K63" s="52" t="s">
        <v>411</v>
      </c>
      <c r="L63" s="54"/>
      <c r="M63" s="39" t="s">
        <v>409</v>
      </c>
    </row>
    <row r="64" s="25" customFormat="1" spans="1:13">
      <c r="A64" s="26"/>
      <c r="B64" s="26"/>
      <c r="C64" s="27"/>
      <c r="D64" s="39" t="s">
        <v>405</v>
      </c>
      <c r="E64" s="39" t="s">
        <v>240</v>
      </c>
      <c r="F64" s="40" t="s">
        <v>406</v>
      </c>
      <c r="G64" s="39" t="str">
        <f t="shared" si="2"/>
        <v>(五冶钢构龙泉东洪片区70亩住宅、商业及配套工程项目三标段)成都市龙泉驿外东洪路地铁2号线惠王陵地铁C口</v>
      </c>
      <c r="H64" s="40" t="s">
        <v>410</v>
      </c>
      <c r="I64" s="40">
        <v>15014331252</v>
      </c>
      <c r="J64" s="55"/>
      <c r="K64" s="52" t="s">
        <v>412</v>
      </c>
      <c r="L64" s="54"/>
      <c r="M64" s="39" t="s">
        <v>409</v>
      </c>
    </row>
    <row r="65" s="25" customFormat="1" spans="1:13">
      <c r="A65" s="26"/>
      <c r="B65" s="26"/>
      <c r="C65" s="27"/>
      <c r="D65" s="39" t="s">
        <v>405</v>
      </c>
      <c r="E65" s="39" t="s">
        <v>225</v>
      </c>
      <c r="F65" s="40" t="s">
        <v>406</v>
      </c>
      <c r="G65" s="39" t="str">
        <f t="shared" si="2"/>
        <v>(五冶钢构龙泉东洪片区85亩住宅、商业及配套工程项目一标段)成都市龙泉驿外东洪路地铁2号线惠王陵地铁C口</v>
      </c>
      <c r="H65" s="40" t="s">
        <v>413</v>
      </c>
      <c r="I65" s="40">
        <v>18599951655</v>
      </c>
      <c r="J65" s="55"/>
      <c r="K65" s="52" t="s">
        <v>414</v>
      </c>
      <c r="L65" s="54"/>
      <c r="M65" s="39" t="s">
        <v>409</v>
      </c>
    </row>
    <row r="66" s="25" customFormat="1" spans="1:13">
      <c r="A66" s="26"/>
      <c r="B66" s="26"/>
      <c r="C66" s="27"/>
      <c r="D66" s="39" t="s">
        <v>405</v>
      </c>
      <c r="E66" s="39" t="s">
        <v>226</v>
      </c>
      <c r="F66" s="40" t="s">
        <v>406</v>
      </c>
      <c r="G66" s="39" t="str">
        <f t="shared" si="2"/>
        <v>(五冶钢构龙泉东洪片区85亩住宅、商业及配套工程项目二标段)成都市龙泉驿外东洪路地铁2号线惠王陵地铁C口</v>
      </c>
      <c r="H66" s="40" t="s">
        <v>415</v>
      </c>
      <c r="I66" s="40">
        <v>18381013849</v>
      </c>
      <c r="J66" s="55"/>
      <c r="K66" s="52" t="s">
        <v>416</v>
      </c>
      <c r="L66" s="54"/>
      <c r="M66" s="39" t="s">
        <v>409</v>
      </c>
    </row>
    <row r="67" s="25" customFormat="1" spans="1:13">
      <c r="A67" s="26"/>
      <c r="B67" s="26"/>
      <c r="C67" s="27"/>
      <c r="D67" s="39" t="s">
        <v>405</v>
      </c>
      <c r="E67" s="39" t="s">
        <v>229</v>
      </c>
      <c r="F67" s="40" t="s">
        <v>406</v>
      </c>
      <c r="G67" s="39" t="str">
        <f t="shared" si="2"/>
        <v>(五冶钢构龙泉东洪片区85亩住宅、商业及配套工程项目三标段)成都市龙泉驿外东洪路地铁2号线惠王陵地铁C口</v>
      </c>
      <c r="H67" s="40" t="s">
        <v>417</v>
      </c>
      <c r="I67" s="40">
        <v>13889142392</v>
      </c>
      <c r="J67" s="55"/>
      <c r="K67" s="52" t="s">
        <v>418</v>
      </c>
      <c r="L67" s="54"/>
      <c r="M67" s="39" t="s">
        <v>409</v>
      </c>
    </row>
    <row r="68" s="25" customFormat="1" spans="1:13">
      <c r="A68" s="26"/>
      <c r="B68" s="26"/>
      <c r="C68" s="27"/>
      <c r="D68" s="46" t="s">
        <v>419</v>
      </c>
      <c r="E68" s="39" t="s">
        <v>188</v>
      </c>
      <c r="F68" s="40" t="s">
        <v>401</v>
      </c>
      <c r="G68" s="39" t="str">
        <f>"("&amp;E68&amp;")"&amp;"四川省达州市达川区斌郎街道四川省达州市达川区洞洞湾256米"</f>
        <v>(武汉电气化局成达万高铁强电项目-达州主城区)四川省达州市达川区斌郎街道四川省达州市达川区洞洞湾256米</v>
      </c>
      <c r="H68" s="40" t="s">
        <v>420</v>
      </c>
      <c r="I68" s="40">
        <v>18228076992</v>
      </c>
      <c r="J68" s="51" t="s">
        <v>421</v>
      </c>
      <c r="K68" s="52" t="s">
        <v>422</v>
      </c>
      <c r="L68" s="54"/>
      <c r="M68" s="39" t="s">
        <v>423</v>
      </c>
    </row>
    <row r="69" s="25" customFormat="1" spans="1:13">
      <c r="A69" s="26"/>
      <c r="B69" s="26"/>
      <c r="C69" s="27"/>
      <c r="D69" s="46" t="s">
        <v>419</v>
      </c>
      <c r="E69" s="39" t="s">
        <v>204</v>
      </c>
      <c r="F69" s="40" t="s">
        <v>401</v>
      </c>
      <c r="G69" s="39" t="str">
        <f>"("&amp;E69&amp;")"&amp;"四川省达州市达川区达州南站"</f>
        <v>(武汉电气化局成达万高铁强电项目-达州主城区-达州南站)四川省达州市达川区达州南站</v>
      </c>
      <c r="H69" s="40" t="s">
        <v>424</v>
      </c>
      <c r="I69" s="40">
        <v>18782679099</v>
      </c>
      <c r="J69" s="51" t="s">
        <v>421</v>
      </c>
      <c r="K69" s="52" t="s">
        <v>422</v>
      </c>
      <c r="L69" s="54"/>
      <c r="M69" s="39" t="s">
        <v>423</v>
      </c>
    </row>
    <row r="70" s="25" customFormat="1" spans="1:13">
      <c r="A70" s="26"/>
      <c r="B70" s="26"/>
      <c r="C70" s="27"/>
      <c r="D70" s="46" t="s">
        <v>419</v>
      </c>
      <c r="E70" s="39" t="s">
        <v>425</v>
      </c>
      <c r="F70" s="40" t="s">
        <v>401</v>
      </c>
      <c r="G70" s="39" t="str">
        <f>"("&amp;E70&amp;")"&amp;"四川省达州市达川区斌郎街道四川省达州市达川区洞洞湾256米"</f>
        <v>(武汉电气化局成达万高铁强电项目-开江县)四川省达州市达川区斌郎街道四川省达州市达川区洞洞湾256米</v>
      </c>
      <c r="H70" s="40" t="s">
        <v>420</v>
      </c>
      <c r="I70" s="40">
        <v>18228076992</v>
      </c>
      <c r="J70" s="51" t="s">
        <v>421</v>
      </c>
      <c r="K70" s="52" t="s">
        <v>422</v>
      </c>
      <c r="L70" s="54"/>
      <c r="M70" s="39" t="s">
        <v>423</v>
      </c>
    </row>
    <row r="71" s="25" customFormat="1" spans="1:13">
      <c r="A71" s="26"/>
      <c r="B71" s="26"/>
      <c r="C71" s="27"/>
      <c r="D71" s="46" t="s">
        <v>419</v>
      </c>
      <c r="E71" s="39" t="s">
        <v>176</v>
      </c>
      <c r="F71" s="40" t="s">
        <v>401</v>
      </c>
      <c r="G71" s="39" t="str">
        <f>"("&amp;E71&amp;")"&amp;"四川省达州市渠县渠北镇雷家湾渠县北站旁"</f>
        <v>(武汉电气化局成达万高铁强电项目-渠县)四川省达州市渠县渠北镇雷家湾渠县北站旁</v>
      </c>
      <c r="H71" s="40" t="s">
        <v>426</v>
      </c>
      <c r="I71" s="40">
        <v>18779627939</v>
      </c>
      <c r="J71" s="51" t="s">
        <v>421</v>
      </c>
      <c r="K71" s="52" t="s">
        <v>422</v>
      </c>
      <c r="L71" s="54"/>
      <c r="M71" s="39" t="s">
        <v>423</v>
      </c>
    </row>
    <row r="72" s="25" customFormat="1" spans="1:13">
      <c r="A72" s="26"/>
      <c r="B72" s="26"/>
      <c r="C72" s="27"/>
      <c r="D72" s="46" t="s">
        <v>419</v>
      </c>
      <c r="E72" s="39" t="s">
        <v>427</v>
      </c>
      <c r="F72" s="40" t="s">
        <v>401</v>
      </c>
      <c r="G72" s="39"/>
      <c r="H72" s="40"/>
      <c r="I72" s="40"/>
      <c r="J72" s="51" t="s">
        <v>421</v>
      </c>
      <c r="K72" s="52" t="s">
        <v>422</v>
      </c>
      <c r="L72" s="54"/>
      <c r="M72" s="39" t="s">
        <v>423</v>
      </c>
    </row>
    <row r="73" s="25" customFormat="1" spans="1:13">
      <c r="A73" s="26"/>
      <c r="B73" s="26"/>
      <c r="C73" s="27"/>
      <c r="D73" s="46" t="s">
        <v>419</v>
      </c>
      <c r="E73" s="39" t="s">
        <v>177</v>
      </c>
      <c r="F73" s="40" t="s">
        <v>401</v>
      </c>
      <c r="G73" s="39" t="str">
        <f>"("&amp;E73&amp;")"&amp;"四川省南充市营山县保真路景阳名城南50米(保真路东)"</f>
        <v>(武汉电气化局成达万高铁强电项目-南充营山)四川省南充市营山县保真路景阳名城南50米(保真路东)</v>
      </c>
      <c r="H73" s="40" t="s">
        <v>428</v>
      </c>
      <c r="I73" s="40">
        <v>18381485052</v>
      </c>
      <c r="J73" s="51" t="s">
        <v>421</v>
      </c>
      <c r="K73" s="52" t="s">
        <v>422</v>
      </c>
      <c r="L73" s="54"/>
      <c r="M73" s="39" t="s">
        <v>423</v>
      </c>
    </row>
    <row r="74" s="25" customFormat="1" spans="1:13">
      <c r="A74" s="26"/>
      <c r="B74" s="26"/>
      <c r="C74" s="27"/>
      <c r="D74" s="44" t="s">
        <v>160</v>
      </c>
      <c r="E74" s="39" t="s">
        <v>160</v>
      </c>
      <c r="F74" s="40" t="s">
        <v>401</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429</v>
      </c>
      <c r="I74" s="40">
        <v>18883488177</v>
      </c>
      <c r="J74" s="51" t="s">
        <v>430</v>
      </c>
      <c r="K74" s="52" t="s">
        <v>431</v>
      </c>
      <c r="L74" s="54"/>
      <c r="M74" s="39" t="s">
        <v>432</v>
      </c>
    </row>
    <row r="75" s="25" customFormat="1" spans="1:13">
      <c r="A75" s="26"/>
      <c r="B75" s="26"/>
      <c r="C75" s="27"/>
      <c r="D75" s="39" t="s">
        <v>433</v>
      </c>
      <c r="E75" s="39" t="s">
        <v>187</v>
      </c>
      <c r="F75" s="40" t="s">
        <v>434</v>
      </c>
      <c r="G75" s="39" t="str">
        <f>"("&amp;E75&amp;")"&amp;"四川省乐山市市中区苏稽镇周山嘴"</f>
        <v>(乐山市校地共建产教融合基地建设项目一标段)四川省乐山市市中区苏稽镇周山嘴</v>
      </c>
      <c r="H75" s="40" t="s">
        <v>435</v>
      </c>
      <c r="I75" s="40">
        <v>13668153241</v>
      </c>
      <c r="J75" s="51" t="s">
        <v>436</v>
      </c>
      <c r="K75" s="52" t="s">
        <v>437</v>
      </c>
      <c r="L75" s="54"/>
      <c r="M75" s="39" t="s">
        <v>438</v>
      </c>
    </row>
    <row r="76" s="25" customFormat="1" spans="1:13">
      <c r="A76" s="26"/>
      <c r="B76" s="26"/>
      <c r="C76" s="27"/>
      <c r="D76" s="39" t="s">
        <v>433</v>
      </c>
      <c r="E76" s="39" t="s">
        <v>186</v>
      </c>
      <c r="F76" s="40" t="s">
        <v>434</v>
      </c>
      <c r="G76" s="39" t="str">
        <f>"("&amp;E76&amp;")"&amp;"四川省乐山市市中区苏稽镇"</f>
        <v>(乐山市校地共建产教融合基地建设项目二标段)四川省乐山市市中区苏稽镇</v>
      </c>
      <c r="H76" s="40" t="s">
        <v>439</v>
      </c>
      <c r="I76" s="40">
        <v>13990276572</v>
      </c>
      <c r="J76" s="51" t="s">
        <v>440</v>
      </c>
      <c r="K76" s="52" t="s">
        <v>441</v>
      </c>
      <c r="L76" s="54"/>
      <c r="M76" s="39" t="s">
        <v>442</v>
      </c>
    </row>
    <row r="77" hidden="1" spans="4:13">
      <c r="D77" s="44" t="s">
        <v>443</v>
      </c>
      <c r="E77" s="45" t="s">
        <v>444</v>
      </c>
      <c r="F77" s="40" t="s">
        <v>445</v>
      </c>
      <c r="G77" s="39" t="str">
        <f t="shared" ref="G71:G116" si="3">"("&amp;E77&amp;")"&amp;"四川省南充市顺庆区搬罾街道学府大道二段"</f>
        <v>(五冶钢构医学科学产业园建设项目房建一部-二标（3-3）)四川省南充市顺庆区搬罾街道学府大道二段</v>
      </c>
      <c r="H77" s="40" t="s">
        <v>446</v>
      </c>
      <c r="I77" s="40">
        <v>18141337338</v>
      </c>
      <c r="J77" s="45" t="s">
        <v>447</v>
      </c>
      <c r="K77" s="50" t="s">
        <v>448</v>
      </c>
      <c r="L77" s="47"/>
      <c r="M77" s="39" t="s">
        <v>449</v>
      </c>
    </row>
    <row r="78" hidden="1" spans="4:13">
      <c r="D78" s="44" t="s">
        <v>443</v>
      </c>
      <c r="E78" s="45" t="s">
        <v>450</v>
      </c>
      <c r="F78" s="40" t="s">
        <v>445</v>
      </c>
      <c r="G78" s="39" t="str">
        <f t="shared" si="3"/>
        <v>(五冶钢构医学科学产业园建设项目房建一部-三标（2-1）)四川省南充市顺庆区搬罾街道学府大道二段</v>
      </c>
      <c r="H78" s="40" t="s">
        <v>446</v>
      </c>
      <c r="I78" s="40">
        <v>18141337338</v>
      </c>
      <c r="J78" s="45" t="s">
        <v>447</v>
      </c>
      <c r="K78" s="50" t="s">
        <v>448</v>
      </c>
      <c r="L78" s="47"/>
      <c r="M78" s="39" t="s">
        <v>449</v>
      </c>
    </row>
    <row r="79" hidden="1" spans="4:13">
      <c r="D79" s="44" t="s">
        <v>443</v>
      </c>
      <c r="E79" s="45" t="s">
        <v>451</v>
      </c>
      <c r="F79" s="40" t="s">
        <v>445</v>
      </c>
      <c r="G79" s="39" t="str">
        <f t="shared" si="3"/>
        <v>(五冶钢构医学科学产业园建设项目房建一部-三标（2-2）)四川省南充市顺庆区搬罾街道学府大道二段</v>
      </c>
      <c r="H79" s="40" t="s">
        <v>446</v>
      </c>
      <c r="I79" s="40">
        <v>18141337338</v>
      </c>
      <c r="J79" s="45" t="s">
        <v>447</v>
      </c>
      <c r="K79" s="50" t="s">
        <v>448</v>
      </c>
      <c r="L79" s="47"/>
      <c r="M79" s="39" t="s">
        <v>449</v>
      </c>
    </row>
    <row r="80" hidden="1" spans="4:13">
      <c r="D80" s="44" t="s">
        <v>443</v>
      </c>
      <c r="E80" s="45" t="s">
        <v>452</v>
      </c>
      <c r="F80" s="40" t="s">
        <v>445</v>
      </c>
      <c r="G80" s="39" t="str">
        <f t="shared" si="3"/>
        <v>(五冶钢构医学科学产业园建设项目房建一部-三标（2-3）)四川省南充市顺庆区搬罾街道学府大道二段</v>
      </c>
      <c r="H80" s="40" t="s">
        <v>446</v>
      </c>
      <c r="I80" s="40">
        <v>18141337338</v>
      </c>
      <c r="J80" s="45" t="s">
        <v>447</v>
      </c>
      <c r="K80" s="50" t="s">
        <v>448</v>
      </c>
      <c r="L80" s="47"/>
      <c r="M80" s="39" t="s">
        <v>449</v>
      </c>
    </row>
    <row r="81" hidden="1" spans="4:13">
      <c r="D81" s="44" t="s">
        <v>443</v>
      </c>
      <c r="E81" s="45" t="s">
        <v>453</v>
      </c>
      <c r="F81" s="40" t="s">
        <v>445</v>
      </c>
      <c r="G81" s="39" t="str">
        <f t="shared" si="3"/>
        <v>(五冶钢构医学科学产业园建设项目房建一部-四标（3-4）)四川省南充市顺庆区搬罾街道学府大道二段</v>
      </c>
      <c r="H81" s="40" t="s">
        <v>446</v>
      </c>
      <c r="I81" s="40">
        <v>18141337338</v>
      </c>
      <c r="J81" s="45" t="s">
        <v>447</v>
      </c>
      <c r="K81" s="50" t="s">
        <v>448</v>
      </c>
      <c r="L81" s="47"/>
      <c r="M81" s="39" t="s">
        <v>449</v>
      </c>
    </row>
    <row r="82" hidden="1" spans="4:13">
      <c r="D82" s="44" t="s">
        <v>443</v>
      </c>
      <c r="E82" s="45" t="s">
        <v>454</v>
      </c>
      <c r="F82" s="40" t="s">
        <v>445</v>
      </c>
      <c r="G82" s="39" t="str">
        <f t="shared" si="3"/>
        <v>(五冶钢构医学科学产业园建设项目房建一部-四标（3-5）)四川省南充市顺庆区搬罾街道学府大道二段</v>
      </c>
      <c r="H82" s="40" t="s">
        <v>446</v>
      </c>
      <c r="I82" s="40">
        <v>18141337338</v>
      </c>
      <c r="J82" s="45" t="s">
        <v>447</v>
      </c>
      <c r="K82" s="50" t="s">
        <v>448</v>
      </c>
      <c r="L82" s="47"/>
      <c r="M82" s="39" t="s">
        <v>449</v>
      </c>
    </row>
    <row r="83" hidden="1" spans="4:13">
      <c r="D83" s="44" t="s">
        <v>443</v>
      </c>
      <c r="E83" s="45" t="s">
        <v>455</v>
      </c>
      <c r="F83" s="40" t="s">
        <v>445</v>
      </c>
      <c r="G83" s="39" t="str">
        <f t="shared" si="3"/>
        <v>(五冶钢构医学科学产业园建设项目房建一部-四标（3-6）)四川省南充市顺庆区搬罾街道学府大道二段</v>
      </c>
      <c r="H83" s="40" t="s">
        <v>446</v>
      </c>
      <c r="I83" s="40">
        <v>18141337338</v>
      </c>
      <c r="J83" s="45" t="s">
        <v>447</v>
      </c>
      <c r="K83" s="50" t="s">
        <v>448</v>
      </c>
      <c r="L83" s="47"/>
      <c r="M83" s="39" t="s">
        <v>449</v>
      </c>
    </row>
    <row r="84" hidden="1" spans="4:13">
      <c r="D84" s="44" t="s">
        <v>443</v>
      </c>
      <c r="E84" s="45" t="s">
        <v>151</v>
      </c>
      <c r="F84" s="40" t="s">
        <v>445</v>
      </c>
      <c r="G84" s="39" t="str">
        <f t="shared" si="3"/>
        <v>(五冶钢构医学科学产业园建设项目房建一部-四标（3-7）)四川省南充市顺庆区搬罾街道学府大道二段</v>
      </c>
      <c r="H84" s="40" t="s">
        <v>446</v>
      </c>
      <c r="I84" s="40">
        <v>18141337338</v>
      </c>
      <c r="J84" s="45" t="s">
        <v>447</v>
      </c>
      <c r="K84" s="50" t="s">
        <v>448</v>
      </c>
      <c r="L84" s="47"/>
      <c r="M84" s="39" t="s">
        <v>449</v>
      </c>
    </row>
    <row r="85" hidden="1" spans="4:13">
      <c r="D85" s="44" t="s">
        <v>443</v>
      </c>
      <c r="E85" s="45" t="s">
        <v>456</v>
      </c>
      <c r="F85" s="40" t="s">
        <v>445</v>
      </c>
      <c r="G85" s="39" t="str">
        <f t="shared" si="3"/>
        <v>(五冶钢构医学科学产业园建设项目房建一部-五标（校医院6-1）)四川省南充市顺庆区搬罾街道学府大道二段</v>
      </c>
      <c r="H85" s="40" t="s">
        <v>446</v>
      </c>
      <c r="I85" s="40">
        <v>18141337338</v>
      </c>
      <c r="J85" s="45" t="s">
        <v>447</v>
      </c>
      <c r="K85" s="50" t="s">
        <v>448</v>
      </c>
      <c r="L85" s="47"/>
      <c r="M85" s="39" t="s">
        <v>449</v>
      </c>
    </row>
    <row r="86" hidden="1" spans="4:13">
      <c r="D86" s="44" t="s">
        <v>443</v>
      </c>
      <c r="E86" s="45" t="s">
        <v>457</v>
      </c>
      <c r="F86" s="40" t="s">
        <v>445</v>
      </c>
      <c r="G86" s="39" t="str">
        <f t="shared" si="3"/>
        <v>(五冶钢构医学科学产业园建设项目房建一部-六标（3-1）)四川省南充市顺庆区搬罾街道学府大道二段</v>
      </c>
      <c r="H86" s="40" t="s">
        <v>446</v>
      </c>
      <c r="I86" s="40">
        <v>18141337338</v>
      </c>
      <c r="J86" s="45" t="s">
        <v>447</v>
      </c>
      <c r="K86" s="50" t="s">
        <v>448</v>
      </c>
      <c r="L86" s="47"/>
      <c r="M86" s="39" t="s">
        <v>449</v>
      </c>
    </row>
    <row r="87" hidden="1" spans="4:13">
      <c r="D87" s="44" t="s">
        <v>443</v>
      </c>
      <c r="E87" s="45" t="s">
        <v>458</v>
      </c>
      <c r="F87" s="40" t="s">
        <v>445</v>
      </c>
      <c r="G87" s="39" t="str">
        <f t="shared" si="3"/>
        <v>(五冶钢构医学科学产业园建设项目房建二部-一标（1-3）)四川省南充市顺庆区搬罾街道学府大道二段</v>
      </c>
      <c r="H87" s="40" t="s">
        <v>459</v>
      </c>
      <c r="I87" s="40">
        <v>19950525030</v>
      </c>
      <c r="J87" s="45" t="s">
        <v>447</v>
      </c>
      <c r="K87" s="50" t="s">
        <v>448</v>
      </c>
      <c r="L87" s="47"/>
      <c r="M87" s="39" t="s">
        <v>449</v>
      </c>
    </row>
    <row r="88" hidden="1" spans="4:13">
      <c r="D88" s="44" t="s">
        <v>443</v>
      </c>
      <c r="E88" s="45" t="s">
        <v>460</v>
      </c>
      <c r="F88" s="40" t="s">
        <v>445</v>
      </c>
      <c r="G88" s="39" t="str">
        <f t="shared" si="3"/>
        <v>(五冶钢构医学科学产业园建设项目房建二部-一标（1-4）)四川省南充市顺庆区搬罾街道学府大道二段</v>
      </c>
      <c r="H88" s="40" t="s">
        <v>459</v>
      </c>
      <c r="I88" s="40">
        <v>19950525030</v>
      </c>
      <c r="J88" s="45" t="s">
        <v>447</v>
      </c>
      <c r="K88" s="50" t="s">
        <v>448</v>
      </c>
      <c r="L88" s="47"/>
      <c r="M88" s="39" t="s">
        <v>449</v>
      </c>
    </row>
    <row r="89" hidden="1" spans="4:13">
      <c r="D89" s="44" t="s">
        <v>443</v>
      </c>
      <c r="E89" s="45" t="s">
        <v>461</v>
      </c>
      <c r="F89" s="40" t="s">
        <v>445</v>
      </c>
      <c r="G89" s="39" t="str">
        <f t="shared" si="3"/>
        <v>(五冶钢构医学科学产业园建设项目房建二部-一标（1-6）)四川省南充市顺庆区搬罾街道学府大道二段</v>
      </c>
      <c r="H89" s="40" t="s">
        <v>459</v>
      </c>
      <c r="I89" s="40">
        <v>19950525030</v>
      </c>
      <c r="J89" s="45" t="s">
        <v>447</v>
      </c>
      <c r="K89" s="50" t="s">
        <v>448</v>
      </c>
      <c r="L89" s="47"/>
      <c r="M89" s="39" t="s">
        <v>449</v>
      </c>
    </row>
    <row r="90" hidden="1" spans="4:13">
      <c r="D90" s="44" t="s">
        <v>443</v>
      </c>
      <c r="E90" s="45" t="s">
        <v>462</v>
      </c>
      <c r="F90" s="40" t="s">
        <v>445</v>
      </c>
      <c r="G90" s="39" t="str">
        <f t="shared" si="3"/>
        <v>(五冶钢构医学科学产业园建设项目房建二部-一标（1-7）)四川省南充市顺庆区搬罾街道学府大道二段</v>
      </c>
      <c r="H90" s="40" t="s">
        <v>459</v>
      </c>
      <c r="I90" s="40">
        <v>19950525030</v>
      </c>
      <c r="J90" s="45" t="s">
        <v>447</v>
      </c>
      <c r="K90" s="50" t="s">
        <v>448</v>
      </c>
      <c r="L90" s="47"/>
      <c r="M90" s="39" t="s">
        <v>449</v>
      </c>
    </row>
    <row r="91" hidden="1" spans="4:13">
      <c r="D91" s="44" t="s">
        <v>443</v>
      </c>
      <c r="E91" s="45" t="s">
        <v>463</v>
      </c>
      <c r="F91" s="40" t="s">
        <v>445</v>
      </c>
      <c r="G91" s="39" t="str">
        <f t="shared" si="3"/>
        <v>(五冶钢构医学科学产业园建设项目房建二部-二标（图情信息中心1-1）)四川省南充市顺庆区搬罾街道学府大道二段</v>
      </c>
      <c r="H91" s="40" t="s">
        <v>459</v>
      </c>
      <c r="I91" s="40">
        <v>19950525030</v>
      </c>
      <c r="J91" s="45" t="s">
        <v>447</v>
      </c>
      <c r="K91" s="50" t="s">
        <v>448</v>
      </c>
      <c r="L91" s="47"/>
      <c r="M91" s="39" t="s">
        <v>449</v>
      </c>
    </row>
    <row r="92" hidden="1" spans="4:13">
      <c r="D92" s="44" t="s">
        <v>443</v>
      </c>
      <c r="E92" s="45" t="s">
        <v>59</v>
      </c>
      <c r="F92" s="40" t="s">
        <v>445</v>
      </c>
      <c r="G92" s="39" t="str">
        <f t="shared" si="3"/>
        <v>(五冶钢构医学科学产业园建设项目房建二部-三标（1-2）)四川省南充市顺庆区搬罾街道学府大道二段</v>
      </c>
      <c r="H92" s="40" t="s">
        <v>459</v>
      </c>
      <c r="I92" s="40">
        <v>19950525030</v>
      </c>
      <c r="J92" s="45" t="s">
        <v>447</v>
      </c>
      <c r="K92" s="50" t="s">
        <v>448</v>
      </c>
      <c r="L92" s="47"/>
      <c r="M92" s="39" t="s">
        <v>449</v>
      </c>
    </row>
    <row r="93" hidden="1" spans="4:13">
      <c r="D93" s="44" t="s">
        <v>443</v>
      </c>
      <c r="E93" s="45" t="s">
        <v>71</v>
      </c>
      <c r="F93" s="40" t="s">
        <v>445</v>
      </c>
      <c r="G93" s="39" t="str">
        <f t="shared" si="3"/>
        <v>(五冶钢构医学科学产业园建设项目房建二部-三标（1-5）)四川省南充市顺庆区搬罾街道学府大道二段</v>
      </c>
      <c r="H93" s="40" t="s">
        <v>459</v>
      </c>
      <c r="I93" s="40">
        <v>19950525030</v>
      </c>
      <c r="J93" s="45" t="s">
        <v>447</v>
      </c>
      <c r="K93" s="50" t="s">
        <v>448</v>
      </c>
      <c r="L93" s="47"/>
      <c r="M93" s="39" t="s">
        <v>449</v>
      </c>
    </row>
    <row r="94" hidden="1" spans="4:13">
      <c r="D94" s="44" t="s">
        <v>443</v>
      </c>
      <c r="E94" s="45" t="s">
        <v>464</v>
      </c>
      <c r="F94" s="40" t="s">
        <v>445</v>
      </c>
      <c r="G94" s="39" t="str">
        <f t="shared" si="3"/>
        <v>(五冶钢构医学科学产业园建设项目房建二部-三标（5-1）)四川省南充市顺庆区搬罾街道学府大道二段</v>
      </c>
      <c r="H94" s="40" t="s">
        <v>459</v>
      </c>
      <c r="I94" s="40">
        <v>19950525030</v>
      </c>
      <c r="J94" s="45" t="s">
        <v>447</v>
      </c>
      <c r="K94" s="50" t="s">
        <v>448</v>
      </c>
      <c r="L94" s="47"/>
      <c r="M94" s="39" t="s">
        <v>449</v>
      </c>
    </row>
    <row r="95" hidden="1" spans="4:13">
      <c r="D95" s="44" t="s">
        <v>443</v>
      </c>
      <c r="E95" s="45" t="s">
        <v>465</v>
      </c>
      <c r="F95" s="40" t="s">
        <v>445</v>
      </c>
      <c r="G95" s="39" t="str">
        <f t="shared" si="3"/>
        <v>(五冶钢构医学科学产业园建设项目房建二部-三标（5-2）)四川省南充市顺庆区搬罾街道学府大道二段</v>
      </c>
      <c r="H95" s="40" t="s">
        <v>459</v>
      </c>
      <c r="I95" s="40">
        <v>19950525030</v>
      </c>
      <c r="J95" s="45" t="s">
        <v>447</v>
      </c>
      <c r="K95" s="50" t="s">
        <v>448</v>
      </c>
      <c r="L95" s="47"/>
      <c r="M95" s="39" t="s">
        <v>449</v>
      </c>
    </row>
    <row r="96" hidden="1" spans="4:13">
      <c r="D96" s="44" t="s">
        <v>443</v>
      </c>
      <c r="E96" s="45" t="s">
        <v>466</v>
      </c>
      <c r="F96" s="40" t="s">
        <v>445</v>
      </c>
      <c r="G96" s="39" t="str">
        <f t="shared" si="3"/>
        <v>(五冶钢构医学科学产业园建设项目房建二部-三标（5-3）)四川省南充市顺庆区搬罾街道学府大道二段</v>
      </c>
      <c r="H96" s="40" t="s">
        <v>459</v>
      </c>
      <c r="I96" s="40">
        <v>19950525030</v>
      </c>
      <c r="J96" s="45" t="s">
        <v>447</v>
      </c>
      <c r="K96" s="50" t="s">
        <v>448</v>
      </c>
      <c r="L96" s="47"/>
      <c r="M96" s="39" t="s">
        <v>449</v>
      </c>
    </row>
    <row r="97" hidden="1" spans="4:13">
      <c r="D97" s="44" t="s">
        <v>443</v>
      </c>
      <c r="E97" s="45" t="s">
        <v>88</v>
      </c>
      <c r="F97" s="40" t="s">
        <v>445</v>
      </c>
      <c r="G97" s="39" t="str">
        <f t="shared" si="3"/>
        <v>(五冶钢构医学科学产业园建设项目房建二部-四标（5-4）)四川省南充市顺庆区搬罾街道学府大道二段</v>
      </c>
      <c r="H97" s="40" t="s">
        <v>459</v>
      </c>
      <c r="I97" s="40">
        <v>19950525030</v>
      </c>
      <c r="J97" s="45" t="s">
        <v>447</v>
      </c>
      <c r="K97" s="50" t="s">
        <v>448</v>
      </c>
      <c r="L97" s="47"/>
      <c r="M97" s="39" t="s">
        <v>449</v>
      </c>
    </row>
    <row r="98" hidden="1" spans="4:13">
      <c r="D98" s="44" t="s">
        <v>443</v>
      </c>
      <c r="E98" s="45" t="s">
        <v>467</v>
      </c>
      <c r="F98" s="40" t="s">
        <v>445</v>
      </c>
      <c r="G98" s="39" t="str">
        <f t="shared" si="3"/>
        <v>(五冶钢构医学科学产业园建设项目房建二部-四标（5-5）)四川省南充市顺庆区搬罾街道学府大道二段</v>
      </c>
      <c r="H98" s="40" t="s">
        <v>459</v>
      </c>
      <c r="I98" s="40">
        <v>19950525030</v>
      </c>
      <c r="J98" s="45" t="s">
        <v>447</v>
      </c>
      <c r="K98" s="50" t="s">
        <v>448</v>
      </c>
      <c r="L98" s="47"/>
      <c r="M98" s="39" t="s">
        <v>449</v>
      </c>
    </row>
    <row r="99" hidden="1" spans="4:13">
      <c r="D99" s="44" t="s">
        <v>443</v>
      </c>
      <c r="E99" s="45" t="s">
        <v>113</v>
      </c>
      <c r="F99" s="40" t="s">
        <v>445</v>
      </c>
      <c r="G99" s="39" t="str">
        <f t="shared" si="3"/>
        <v>(五冶钢构医学科学产业园建设项目房建二部-排洪渠（五标）)四川省南充市顺庆区搬罾街道学府大道二段</v>
      </c>
      <c r="H99" s="40" t="s">
        <v>459</v>
      </c>
      <c r="I99" s="40">
        <v>19950525030</v>
      </c>
      <c r="J99" s="45" t="s">
        <v>447</v>
      </c>
      <c r="K99" s="50" t="s">
        <v>448</v>
      </c>
      <c r="L99" s="47"/>
      <c r="M99" s="39" t="s">
        <v>449</v>
      </c>
    </row>
    <row r="100" hidden="1" spans="4:13">
      <c r="D100" s="44" t="s">
        <v>443</v>
      </c>
      <c r="E100" s="45" t="s">
        <v>60</v>
      </c>
      <c r="F100" s="40" t="s">
        <v>445</v>
      </c>
      <c r="G100" s="39" t="str">
        <f t="shared" si="3"/>
        <v>(五冶钢构医学科学产业园建设项目房建二部-六标)四川省南充市顺庆区搬罾街道学府大道二段</v>
      </c>
      <c r="H100" s="40" t="s">
        <v>459</v>
      </c>
      <c r="I100" s="40">
        <v>19950525030</v>
      </c>
      <c r="J100" s="45" t="s">
        <v>447</v>
      </c>
      <c r="K100" s="50" t="s">
        <v>448</v>
      </c>
      <c r="L100" s="47"/>
      <c r="M100" s="39" t="s">
        <v>449</v>
      </c>
    </row>
    <row r="101" hidden="1" spans="4:13">
      <c r="D101" s="44" t="s">
        <v>443</v>
      </c>
      <c r="E101" s="45" t="s">
        <v>72</v>
      </c>
      <c r="F101" s="40" t="s">
        <v>445</v>
      </c>
      <c r="G101" s="39" t="str">
        <f t="shared" si="3"/>
        <v>(五冶钢构医学科学产业园建设项目房建二部-网羽馆（6-5）)四川省南充市顺庆区搬罾街道学府大道二段</v>
      </c>
      <c r="H101" s="40" t="s">
        <v>459</v>
      </c>
      <c r="I101" s="40">
        <v>19950525030</v>
      </c>
      <c r="J101" s="45" t="s">
        <v>447</v>
      </c>
      <c r="K101" s="50" t="s">
        <v>448</v>
      </c>
      <c r="L101" s="47"/>
      <c r="M101" s="39" t="s">
        <v>449</v>
      </c>
    </row>
    <row r="102" hidden="1" spans="4:13">
      <c r="D102" s="44" t="s">
        <v>443</v>
      </c>
      <c r="E102" s="45" t="s">
        <v>468</v>
      </c>
      <c r="F102" s="40" t="s">
        <v>445</v>
      </c>
      <c r="G102" s="39" t="str">
        <f t="shared" si="3"/>
        <v>(五冶钢构医学科学产业园建设项目房建三部-一标（4-1）)四川省南充市顺庆区搬罾街道学府大道二段</v>
      </c>
      <c r="H102" s="40" t="s">
        <v>469</v>
      </c>
      <c r="I102" s="40">
        <v>18349955455</v>
      </c>
      <c r="J102" s="45" t="s">
        <v>447</v>
      </c>
      <c r="K102" s="50" t="s">
        <v>448</v>
      </c>
      <c r="L102" s="47"/>
      <c r="M102" s="39" t="s">
        <v>449</v>
      </c>
    </row>
    <row r="103" hidden="1" spans="4:13">
      <c r="D103" s="44" t="s">
        <v>443</v>
      </c>
      <c r="E103" s="45" t="s">
        <v>470</v>
      </c>
      <c r="F103" s="40" t="s">
        <v>445</v>
      </c>
      <c r="G103" s="39" t="str">
        <f t="shared" si="3"/>
        <v>(五冶钢构医学科学产业园建设项目房建三部-一标（4-2）)四川省南充市顺庆区搬罾街道学府大道二段</v>
      </c>
      <c r="H103" s="40" t="s">
        <v>469</v>
      </c>
      <c r="I103" s="40">
        <v>18349955455</v>
      </c>
      <c r="J103" s="45" t="s">
        <v>447</v>
      </c>
      <c r="K103" s="50" t="s">
        <v>448</v>
      </c>
      <c r="L103" s="47"/>
      <c r="M103" s="39" t="s">
        <v>449</v>
      </c>
    </row>
    <row r="104" hidden="1" spans="4:13">
      <c r="D104" s="44" t="s">
        <v>443</v>
      </c>
      <c r="E104" s="45" t="s">
        <v>471</v>
      </c>
      <c r="F104" s="40" t="s">
        <v>445</v>
      </c>
      <c r="G104" s="39" t="str">
        <f t="shared" si="3"/>
        <v>(五冶钢构医学科学产业园建设项目房建三部-一标（4-3）)四川省南充市顺庆区搬罾街道学府大道二段</v>
      </c>
      <c r="H104" s="40" t="s">
        <v>469</v>
      </c>
      <c r="I104" s="40">
        <v>18349955455</v>
      </c>
      <c r="J104" s="45" t="s">
        <v>447</v>
      </c>
      <c r="K104" s="50" t="s">
        <v>448</v>
      </c>
      <c r="L104" s="47"/>
      <c r="M104" s="39" t="s">
        <v>449</v>
      </c>
    </row>
    <row r="105" hidden="1" spans="4:13">
      <c r="D105" s="44" t="s">
        <v>443</v>
      </c>
      <c r="E105" s="45" t="s">
        <v>472</v>
      </c>
      <c r="F105" s="40" t="s">
        <v>445</v>
      </c>
      <c r="G105" s="39" t="str">
        <f t="shared" si="3"/>
        <v>(五冶钢构医学科学产业园建设项目房建三部-一标（4-4）)四川省南充市顺庆区搬罾街道学府大道二段</v>
      </c>
      <c r="H105" s="40" t="s">
        <v>469</v>
      </c>
      <c r="I105" s="40">
        <v>18349955455</v>
      </c>
      <c r="J105" s="45" t="s">
        <v>447</v>
      </c>
      <c r="K105" s="50" t="s">
        <v>448</v>
      </c>
      <c r="L105" s="47"/>
      <c r="M105" s="39" t="s">
        <v>449</v>
      </c>
    </row>
    <row r="106" hidden="1" spans="4:13">
      <c r="D106" s="44" t="s">
        <v>443</v>
      </c>
      <c r="E106" s="45" t="s">
        <v>473</v>
      </c>
      <c r="F106" s="40" t="s">
        <v>445</v>
      </c>
      <c r="G106" s="39" t="str">
        <f t="shared" si="3"/>
        <v>(五冶钢构医学科学产业园建设项目房建三部-一标（4-5）)四川省南充市顺庆区搬罾街道学府大道二段</v>
      </c>
      <c r="H106" s="40" t="s">
        <v>469</v>
      </c>
      <c r="I106" s="40">
        <v>18349955455</v>
      </c>
      <c r="J106" s="45" t="s">
        <v>447</v>
      </c>
      <c r="K106" s="50" t="s">
        <v>448</v>
      </c>
      <c r="L106" s="47"/>
      <c r="M106" s="39" t="s">
        <v>449</v>
      </c>
    </row>
    <row r="107" hidden="1" spans="4:13">
      <c r="D107" s="44" t="s">
        <v>443</v>
      </c>
      <c r="E107" s="45" t="s">
        <v>474</v>
      </c>
      <c r="F107" s="40" t="s">
        <v>445</v>
      </c>
      <c r="G107" s="39" t="str">
        <f t="shared" si="3"/>
        <v>(五冶钢构医学科学产业园建设项目房建三部-一标（4-6）)四川省南充市顺庆区搬罾街道学府大道二段</v>
      </c>
      <c r="H107" s="40" t="s">
        <v>469</v>
      </c>
      <c r="I107" s="40">
        <v>18349955455</v>
      </c>
      <c r="J107" s="45" t="s">
        <v>447</v>
      </c>
      <c r="K107" s="50" t="s">
        <v>448</v>
      </c>
      <c r="L107" s="47"/>
      <c r="M107" s="39" t="s">
        <v>449</v>
      </c>
    </row>
    <row r="108" hidden="1" spans="4:13">
      <c r="D108" s="44" t="s">
        <v>443</v>
      </c>
      <c r="E108" s="45" t="s">
        <v>73</v>
      </c>
      <c r="F108" s="40" t="s">
        <v>445</v>
      </c>
      <c r="G108" s="39" t="str">
        <f t="shared" si="3"/>
        <v>(五冶钢构医学科学产业园建设项目房建三部-一标（7-1）)四川省南充市顺庆区搬罾街道学府大道二段</v>
      </c>
      <c r="H108" s="40" t="s">
        <v>469</v>
      </c>
      <c r="I108" s="40">
        <v>18349955455</v>
      </c>
      <c r="J108" s="45" t="s">
        <v>447</v>
      </c>
      <c r="K108" s="50" t="s">
        <v>448</v>
      </c>
      <c r="L108" s="47"/>
      <c r="M108" s="39" t="s">
        <v>449</v>
      </c>
    </row>
    <row r="109" hidden="1" spans="4:13">
      <c r="D109" s="44" t="s">
        <v>443</v>
      </c>
      <c r="E109" s="45" t="s">
        <v>20</v>
      </c>
      <c r="F109" s="40" t="s">
        <v>445</v>
      </c>
      <c r="G109" s="39" t="str">
        <f t="shared" si="3"/>
        <v>(五冶钢构医学科学产业园建设项目房建三部-一标（7-2）)四川省南充市顺庆区搬罾街道学府大道二段</v>
      </c>
      <c r="H109" s="40" t="s">
        <v>469</v>
      </c>
      <c r="I109" s="40">
        <v>18349955455</v>
      </c>
      <c r="J109" s="45" t="s">
        <v>447</v>
      </c>
      <c r="K109" s="50" t="s">
        <v>448</v>
      </c>
      <c r="L109" s="47"/>
      <c r="M109" s="39" t="s">
        <v>449</v>
      </c>
    </row>
    <row r="110" hidden="1" spans="4:13">
      <c r="D110" s="44" t="s">
        <v>443</v>
      </c>
      <c r="E110" s="45" t="s">
        <v>23</v>
      </c>
      <c r="F110" s="40" t="s">
        <v>445</v>
      </c>
      <c r="G110" s="39" t="str">
        <f t="shared" si="3"/>
        <v>(五冶钢构医学科学产业园建设项目房建三部-一标（7-3）)四川省南充市顺庆区搬罾街道学府大道二段</v>
      </c>
      <c r="H110" s="40" t="s">
        <v>469</v>
      </c>
      <c r="I110" s="40">
        <v>18349955455</v>
      </c>
      <c r="J110" s="45" t="s">
        <v>447</v>
      </c>
      <c r="K110" s="50" t="s">
        <v>448</v>
      </c>
      <c r="L110" s="47"/>
      <c r="M110" s="39" t="s">
        <v>449</v>
      </c>
    </row>
    <row r="111" hidden="1" spans="4:13">
      <c r="D111" s="44" t="s">
        <v>443</v>
      </c>
      <c r="E111" s="45" t="s">
        <v>24</v>
      </c>
      <c r="F111" s="40" t="s">
        <v>445</v>
      </c>
      <c r="G111" s="39" t="str">
        <f t="shared" si="3"/>
        <v>(五冶钢构医学科学产业园建设项目房建三部-一标（7-4）)四川省南充市顺庆区搬罾街道学府大道二段</v>
      </c>
      <c r="H111" s="40" t="s">
        <v>469</v>
      </c>
      <c r="I111" s="40">
        <v>18349955455</v>
      </c>
      <c r="J111" s="45" t="s">
        <v>447</v>
      </c>
      <c r="K111" s="50" t="s">
        <v>448</v>
      </c>
      <c r="L111" s="47"/>
      <c r="M111" s="39" t="s">
        <v>449</v>
      </c>
    </row>
    <row r="112" hidden="1" spans="4:13">
      <c r="D112" s="44" t="s">
        <v>443</v>
      </c>
      <c r="E112" s="39" t="s">
        <v>89</v>
      </c>
      <c r="F112" s="40" t="s">
        <v>445</v>
      </c>
      <c r="G112" s="39" t="str">
        <f t="shared" si="3"/>
        <v>(五冶钢构医学科学产业园建设项目房建三部-排洪渠)四川省南充市顺庆区搬罾街道学府大道二段</v>
      </c>
      <c r="H112" s="40" t="s">
        <v>469</v>
      </c>
      <c r="I112" s="40">
        <v>18349955455</v>
      </c>
      <c r="J112" s="45" t="s">
        <v>447</v>
      </c>
      <c r="K112" s="50" t="s">
        <v>448</v>
      </c>
      <c r="L112" s="47"/>
      <c r="M112" s="39" t="s">
        <v>449</v>
      </c>
    </row>
    <row r="113" hidden="1" spans="4:13">
      <c r="D113" s="44" t="s">
        <v>443</v>
      </c>
      <c r="E113" s="39" t="s">
        <v>127</v>
      </c>
      <c r="F113" s="40" t="s">
        <v>445</v>
      </c>
      <c r="G113" s="39" t="str">
        <f t="shared" si="3"/>
        <v>(五冶钢构医学科学产业园建设项目房建三部-管网总坪)四川省南充市顺庆区搬罾街道学府大道二段</v>
      </c>
      <c r="H113" s="40" t="s">
        <v>469</v>
      </c>
      <c r="I113" s="40">
        <v>18349955455</v>
      </c>
      <c r="J113" s="45" t="s">
        <v>447</v>
      </c>
      <c r="K113" s="50" t="s">
        <v>448</v>
      </c>
      <c r="L113" s="47"/>
      <c r="M113" s="39" t="s">
        <v>449</v>
      </c>
    </row>
    <row r="114" hidden="1" spans="4:13">
      <c r="D114" s="44" t="s">
        <v>443</v>
      </c>
      <c r="E114" s="39" t="s">
        <v>117</v>
      </c>
      <c r="F114" s="40" t="s">
        <v>445</v>
      </c>
      <c r="G114" s="39" t="str">
        <f t="shared" si="3"/>
        <v>(五冶钢构医学科学产业园建设项目房建三部-配套用房及围墙)四川省南充市顺庆区搬罾街道学府大道二段</v>
      </c>
      <c r="H114" s="40" t="s">
        <v>469</v>
      </c>
      <c r="I114" s="40">
        <v>18349955455</v>
      </c>
      <c r="J114" s="45" t="s">
        <v>447</v>
      </c>
      <c r="K114" s="50" t="s">
        <v>448</v>
      </c>
      <c r="L114" s="47"/>
      <c r="M114" s="39" t="s">
        <v>449</v>
      </c>
    </row>
    <row r="115" hidden="1" spans="4:13">
      <c r="D115" s="44" t="s">
        <v>443</v>
      </c>
      <c r="E115" s="39" t="s">
        <v>475</v>
      </c>
      <c r="F115" s="40" t="s">
        <v>445</v>
      </c>
      <c r="G115" s="39" t="str">
        <f t="shared" si="3"/>
        <v>(五冶钢构医学科学产业园建设项目房建连接线道路工程-1)四川省南充市顺庆区搬罾街道学府大道二段</v>
      </c>
      <c r="H115" s="40" t="s">
        <v>476</v>
      </c>
      <c r="I115" s="40">
        <v>13908143055</v>
      </c>
      <c r="J115" s="45" t="s">
        <v>447</v>
      </c>
      <c r="K115" s="50" t="s">
        <v>448</v>
      </c>
      <c r="L115" s="47"/>
      <c r="M115" s="39" t="s">
        <v>449</v>
      </c>
    </row>
    <row r="116" hidden="1" spans="4:13">
      <c r="D116" s="44" t="s">
        <v>443</v>
      </c>
      <c r="E116" s="39" t="s">
        <v>477</v>
      </c>
      <c r="F116" s="40" t="s">
        <v>445</v>
      </c>
      <c r="G116" s="39" t="str">
        <f t="shared" si="3"/>
        <v>(五冶钢构医学科学产业园建设项目房建连接线道路工程-2)四川省南充市顺庆区搬罾街道学府大道二段</v>
      </c>
      <c r="H116" s="40" t="s">
        <v>478</v>
      </c>
      <c r="I116" s="40">
        <v>15982411682</v>
      </c>
      <c r="J116" s="45" t="s">
        <v>447</v>
      </c>
      <c r="K116" s="50" t="s">
        <v>448</v>
      </c>
      <c r="L116" s="47"/>
      <c r="M116" s="39" t="s">
        <v>449</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J14" sqref="J14"/>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479</v>
      </c>
      <c r="B1" s="20" t="s">
        <v>480</v>
      </c>
      <c r="C1" s="20" t="s">
        <v>481</v>
      </c>
    </row>
    <row r="2" s="18" customFormat="1" spans="1:4">
      <c r="A2" s="21" t="s">
        <v>482</v>
      </c>
      <c r="B2" s="21" t="s">
        <v>483</v>
      </c>
      <c r="C2" s="22" t="s">
        <v>484</v>
      </c>
      <c r="D2" s="23"/>
    </row>
    <row r="3" s="18" customFormat="1" spans="1:4">
      <c r="A3" s="21" t="s">
        <v>81</v>
      </c>
      <c r="B3" s="21" t="s">
        <v>485</v>
      </c>
      <c r="C3" s="24" t="s">
        <v>486</v>
      </c>
      <c r="D3" s="23"/>
    </row>
    <row r="4" s="18" customFormat="1" spans="1:4">
      <c r="A4" s="21" t="s">
        <v>44</v>
      </c>
      <c r="B4" s="21" t="s">
        <v>487</v>
      </c>
      <c r="C4" s="24" t="s">
        <v>488</v>
      </c>
      <c r="D4" s="23"/>
    </row>
    <row r="5" s="18" customFormat="1" spans="1:4">
      <c r="A5" s="21" t="s">
        <v>92</v>
      </c>
      <c r="B5" s="21" t="s">
        <v>489</v>
      </c>
      <c r="C5" s="24" t="s">
        <v>490</v>
      </c>
      <c r="D5" s="23"/>
    </row>
    <row r="6" s="18" customFormat="1" spans="1:4">
      <c r="A6" s="21" t="s">
        <v>275</v>
      </c>
      <c r="B6" s="21" t="s">
        <v>491</v>
      </c>
      <c r="C6" s="24" t="s">
        <v>492</v>
      </c>
      <c r="D6" s="23"/>
    </row>
    <row r="7" s="18" customFormat="1" spans="1:4">
      <c r="A7" s="21" t="s">
        <v>287</v>
      </c>
      <c r="B7" s="21" t="s">
        <v>493</v>
      </c>
      <c r="C7" s="24" t="s">
        <v>494</v>
      </c>
      <c r="D7" s="23"/>
    </row>
    <row r="8" s="18" customFormat="1" spans="1:4">
      <c r="A8" s="21" t="s">
        <v>186</v>
      </c>
      <c r="B8" s="21" t="s">
        <v>495</v>
      </c>
      <c r="C8" s="24" t="s">
        <v>496</v>
      </c>
      <c r="D8" s="23"/>
    </row>
    <row r="9" s="18" customFormat="1" spans="1:4">
      <c r="A9" s="21" t="s">
        <v>187</v>
      </c>
      <c r="B9" s="21" t="s">
        <v>497</v>
      </c>
      <c r="C9" s="24" t="s">
        <v>498</v>
      </c>
      <c r="D9" s="23"/>
    </row>
    <row r="10" s="18" customFormat="1" spans="1:4">
      <c r="A10" s="21" t="s">
        <v>307</v>
      </c>
      <c r="B10" s="21" t="s">
        <v>499</v>
      </c>
      <c r="C10" s="24" t="s">
        <v>500</v>
      </c>
      <c r="D10" s="23"/>
    </row>
    <row r="11" s="18" customFormat="1" spans="1:4">
      <c r="A11" s="21" t="s">
        <v>501</v>
      </c>
      <c r="B11" s="21" t="s">
        <v>502</v>
      </c>
      <c r="C11" s="24" t="s">
        <v>503</v>
      </c>
      <c r="D11" s="23"/>
    </row>
    <row r="12" s="18" customFormat="1" spans="1:4">
      <c r="A12" s="21" t="s">
        <v>341</v>
      </c>
      <c r="B12" s="21" t="s">
        <v>504</v>
      </c>
      <c r="C12" s="24" t="s">
        <v>505</v>
      </c>
      <c r="D12" s="23"/>
    </row>
    <row r="13" s="18" customFormat="1" spans="1:4">
      <c r="A13" s="21" t="s">
        <v>405</v>
      </c>
      <c r="B13" s="21" t="s">
        <v>506</v>
      </c>
      <c r="C13" s="22" t="s">
        <v>507</v>
      </c>
      <c r="D13" s="23"/>
    </row>
    <row r="14" s="18" customFormat="1" spans="1:4">
      <c r="A14" s="21" t="s">
        <v>338</v>
      </c>
      <c r="B14" s="21" t="s">
        <v>508</v>
      </c>
      <c r="C14" s="24" t="s">
        <v>509</v>
      </c>
      <c r="D14" s="23"/>
    </row>
    <row r="15" s="18" customFormat="1" spans="1:4">
      <c r="A15" s="21" t="s">
        <v>192</v>
      </c>
      <c r="B15" s="21" t="s">
        <v>510</v>
      </c>
      <c r="C15" s="24" t="s">
        <v>511</v>
      </c>
      <c r="D15" s="23"/>
    </row>
    <row r="16" s="18" customFormat="1" spans="1:4">
      <c r="A16" s="21" t="s">
        <v>211</v>
      </c>
      <c r="B16" s="21" t="s">
        <v>512</v>
      </c>
      <c r="C16" s="22" t="s">
        <v>513</v>
      </c>
      <c r="D16" s="23"/>
    </row>
    <row r="17" s="18" customFormat="1" spans="1:4">
      <c r="A17" s="21" t="s">
        <v>208</v>
      </c>
      <c r="B17" s="21" t="s">
        <v>514</v>
      </c>
      <c r="C17" s="22" t="s">
        <v>515</v>
      </c>
      <c r="D17" s="23"/>
    </row>
    <row r="18" s="18" customFormat="1" spans="1:4">
      <c r="A18" s="21" t="s">
        <v>203</v>
      </c>
      <c r="B18" s="21" t="s">
        <v>516</v>
      </c>
      <c r="C18" s="22" t="s">
        <v>517</v>
      </c>
      <c r="D18" s="23"/>
    </row>
    <row r="19" s="18" customFormat="1" spans="1:4">
      <c r="A19" s="21" t="s">
        <v>167</v>
      </c>
      <c r="B19" s="21" t="s">
        <v>518</v>
      </c>
      <c r="C19" s="24" t="s">
        <v>519</v>
      </c>
      <c r="D19" s="23"/>
    </row>
    <row r="20" s="18" customFormat="1" spans="1:4">
      <c r="A20" s="21" t="s">
        <v>371</v>
      </c>
      <c r="B20" s="21" t="s">
        <v>520</v>
      </c>
      <c r="C20" s="24" t="s">
        <v>521</v>
      </c>
      <c r="D20" s="23"/>
    </row>
    <row r="21" s="18" customFormat="1" spans="1:4">
      <c r="A21" s="21" t="s">
        <v>215</v>
      </c>
      <c r="B21" s="21" t="s">
        <v>522</v>
      </c>
      <c r="C21" s="22" t="s">
        <v>523</v>
      </c>
      <c r="D21" s="23"/>
    </row>
    <row r="22" s="18" customFormat="1" spans="1:4">
      <c r="A22" s="21" t="s">
        <v>196</v>
      </c>
      <c r="B22" s="21" t="s">
        <v>524</v>
      </c>
      <c r="C22" s="22" t="s">
        <v>525</v>
      </c>
      <c r="D22" s="23"/>
    </row>
    <row r="23" s="18" customFormat="1" spans="1:4">
      <c r="A23" s="21" t="s">
        <v>419</v>
      </c>
      <c r="B23" s="21" t="s">
        <v>526</v>
      </c>
      <c r="C23" s="24" t="s">
        <v>527</v>
      </c>
      <c r="D23" s="23"/>
    </row>
    <row r="24" s="18" customFormat="1" spans="1:4">
      <c r="A24" s="21" t="s">
        <v>128</v>
      </c>
      <c r="B24" s="21" t="s">
        <v>528</v>
      </c>
      <c r="C24" s="24" t="s">
        <v>529</v>
      </c>
      <c r="D24" s="23"/>
    </row>
    <row r="25" s="18" customFormat="1" spans="1:4">
      <c r="A25" s="21" t="s">
        <v>150</v>
      </c>
      <c r="B25" s="21" t="s">
        <v>530</v>
      </c>
      <c r="C25" s="24" t="s">
        <v>531</v>
      </c>
      <c r="D25" s="23"/>
    </row>
    <row r="26" s="18" customFormat="1" spans="1:4">
      <c r="A26" s="21" t="s">
        <v>160</v>
      </c>
      <c r="B26" s="21" t="s">
        <v>532</v>
      </c>
      <c r="C26" s="24" t="s">
        <v>533</v>
      </c>
      <c r="D26" s="23"/>
    </row>
  </sheetData>
  <hyperlinks>
    <hyperlink ref="C19" r:id="rId1" display="https://ztwmzyxm.streamlit.app/?project=wyjsklytzx2"/>
    <hyperlink ref="C17" r:id="rId2" display="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534</v>
      </c>
      <c r="C2" s="14" t="s">
        <v>535</v>
      </c>
    </row>
    <row r="3" spans="1:3">
      <c r="A3" s="14" t="s">
        <v>44</v>
      </c>
      <c r="B3" s="15" t="s">
        <v>534</v>
      </c>
      <c r="C3" s="14" t="s">
        <v>536</v>
      </c>
    </row>
    <row r="4" spans="1:3">
      <c r="A4" s="14" t="s">
        <v>92</v>
      </c>
      <c r="B4" s="15" t="s">
        <v>534</v>
      </c>
      <c r="C4" s="14" t="s">
        <v>537</v>
      </c>
    </row>
    <row r="5" spans="1:3">
      <c r="A5" s="14" t="s">
        <v>275</v>
      </c>
      <c r="B5" s="15" t="s">
        <v>534</v>
      </c>
      <c r="C5" s="14" t="s">
        <v>538</v>
      </c>
    </row>
    <row r="6" spans="1:3">
      <c r="A6" s="14" t="s">
        <v>287</v>
      </c>
      <c r="B6" s="15" t="s">
        <v>534</v>
      </c>
      <c r="C6" s="14" t="s">
        <v>539</v>
      </c>
    </row>
    <row r="7" spans="1:3">
      <c r="A7" s="14" t="s">
        <v>291</v>
      </c>
      <c r="B7" s="15" t="s">
        <v>534</v>
      </c>
      <c r="C7" s="14" t="s">
        <v>540</v>
      </c>
    </row>
    <row r="8" spans="1:3">
      <c r="A8" s="14" t="s">
        <v>186</v>
      </c>
      <c r="B8" s="15" t="s">
        <v>534</v>
      </c>
      <c r="C8" s="14" t="s">
        <v>541</v>
      </c>
    </row>
    <row r="9" spans="1:3">
      <c r="A9" s="14" t="s">
        <v>187</v>
      </c>
      <c r="B9" s="15" t="s">
        <v>534</v>
      </c>
      <c r="C9" s="14" t="s">
        <v>542</v>
      </c>
    </row>
    <row r="10" ht="13.5" spans="1:3">
      <c r="A10" s="14" t="s">
        <v>307</v>
      </c>
      <c r="B10" s="15" t="s">
        <v>534</v>
      </c>
      <c r="C10" s="16" t="s">
        <v>543</v>
      </c>
    </row>
    <row r="11" spans="1:3">
      <c r="A11" s="14" t="s">
        <v>333</v>
      </c>
      <c r="B11" s="15" t="s">
        <v>534</v>
      </c>
      <c r="C11" s="14" t="s">
        <v>544</v>
      </c>
    </row>
    <row r="12" spans="1:3">
      <c r="A12" s="14" t="s">
        <v>253</v>
      </c>
      <c r="B12" s="15" t="s">
        <v>534</v>
      </c>
      <c r="C12" s="14" t="s">
        <v>545</v>
      </c>
    </row>
    <row r="13" spans="1:3">
      <c r="A13" s="14" t="s">
        <v>145</v>
      </c>
      <c r="B13" s="15" t="s">
        <v>534</v>
      </c>
      <c r="C13" s="14" t="s">
        <v>546</v>
      </c>
    </row>
    <row r="14" spans="1:3">
      <c r="A14" s="14" t="s">
        <v>341</v>
      </c>
      <c r="B14" s="15" t="s">
        <v>534</v>
      </c>
      <c r="C14" s="14" t="s">
        <v>547</v>
      </c>
    </row>
    <row r="15" spans="1:3">
      <c r="A15" s="14" t="s">
        <v>228</v>
      </c>
      <c r="B15" s="15" t="s">
        <v>534</v>
      </c>
      <c r="C15" s="14" t="s">
        <v>548</v>
      </c>
    </row>
    <row r="16" spans="1:3">
      <c r="A16" s="14" t="s">
        <v>240</v>
      </c>
      <c r="B16" s="15" t="s">
        <v>534</v>
      </c>
      <c r="C16" s="14" t="s">
        <v>549</v>
      </c>
    </row>
    <row r="17" spans="1:3">
      <c r="A17" s="14" t="s">
        <v>224</v>
      </c>
      <c r="B17" s="15" t="s">
        <v>534</v>
      </c>
      <c r="C17" s="14" t="s">
        <v>550</v>
      </c>
    </row>
    <row r="18" spans="1:3">
      <c r="A18" s="14" t="s">
        <v>226</v>
      </c>
      <c r="B18" s="15" t="s">
        <v>534</v>
      </c>
      <c r="C18" s="14" t="s">
        <v>551</v>
      </c>
    </row>
    <row r="19" spans="1:3">
      <c r="A19" s="14" t="s">
        <v>229</v>
      </c>
      <c r="B19" s="15" t="s">
        <v>534</v>
      </c>
      <c r="C19" s="14" t="s">
        <v>552</v>
      </c>
    </row>
    <row r="20" spans="1:3">
      <c r="A20" s="14" t="s">
        <v>225</v>
      </c>
      <c r="B20" s="15" t="s">
        <v>534</v>
      </c>
      <c r="C20" s="14" t="s">
        <v>553</v>
      </c>
    </row>
    <row r="21" spans="1:3">
      <c r="A21" s="14" t="s">
        <v>338</v>
      </c>
      <c r="B21" s="15" t="s">
        <v>534</v>
      </c>
      <c r="C21" s="14" t="s">
        <v>554</v>
      </c>
    </row>
    <row r="22" spans="1:3">
      <c r="A22" s="14" t="s">
        <v>192</v>
      </c>
      <c r="B22" s="15" t="s">
        <v>534</v>
      </c>
      <c r="C22" s="14" t="s">
        <v>555</v>
      </c>
    </row>
    <row r="23" spans="1:3">
      <c r="A23" s="14" t="s">
        <v>230</v>
      </c>
      <c r="B23" s="15" t="s">
        <v>534</v>
      </c>
      <c r="C23" s="14" t="s">
        <v>556</v>
      </c>
    </row>
    <row r="24" spans="1:3">
      <c r="A24" s="14" t="s">
        <v>231</v>
      </c>
      <c r="B24" s="15" t="s">
        <v>534</v>
      </c>
      <c r="C24" s="14" t="s">
        <v>557</v>
      </c>
    </row>
    <row r="25" spans="1:3">
      <c r="A25" s="14" t="s">
        <v>208</v>
      </c>
      <c r="B25" s="15" t="s">
        <v>534</v>
      </c>
      <c r="C25" s="14" t="s">
        <v>558</v>
      </c>
    </row>
    <row r="26" spans="1:3">
      <c r="A26" s="14" t="s">
        <v>203</v>
      </c>
      <c r="B26" s="15" t="s">
        <v>534</v>
      </c>
      <c r="C26" s="14" t="s">
        <v>559</v>
      </c>
    </row>
    <row r="27" spans="1:3">
      <c r="A27" s="14" t="s">
        <v>167</v>
      </c>
      <c r="B27" s="15" t="s">
        <v>534</v>
      </c>
      <c r="C27" s="14" t="s">
        <v>560</v>
      </c>
    </row>
    <row r="28" spans="1:3">
      <c r="A28" s="14" t="s">
        <v>371</v>
      </c>
      <c r="B28" s="15" t="s">
        <v>534</v>
      </c>
      <c r="C28" s="14" t="s">
        <v>561</v>
      </c>
    </row>
    <row r="29" spans="1:3">
      <c r="A29" s="14" t="s">
        <v>215</v>
      </c>
      <c r="B29" s="15" t="s">
        <v>534</v>
      </c>
      <c r="C29" s="14" t="s">
        <v>562</v>
      </c>
    </row>
    <row r="30" spans="1:3">
      <c r="A30" s="14" t="s">
        <v>196</v>
      </c>
      <c r="B30" s="17" t="s">
        <v>534</v>
      </c>
      <c r="C30" s="14" t="s">
        <v>563</v>
      </c>
    </row>
    <row r="31" spans="1:3">
      <c r="A31" s="14" t="s">
        <v>297</v>
      </c>
      <c r="B31" s="15" t="s">
        <v>534</v>
      </c>
      <c r="C31" s="14" t="s">
        <v>564</v>
      </c>
    </row>
    <row r="32" spans="1:3">
      <c r="A32" s="14" t="s">
        <v>248</v>
      </c>
      <c r="B32" s="15" t="s">
        <v>534</v>
      </c>
      <c r="C32" s="14" t="s">
        <v>565</v>
      </c>
    </row>
    <row r="33" spans="1:3">
      <c r="A33" s="14" t="s">
        <v>258</v>
      </c>
      <c r="B33" s="15" t="s">
        <v>534</v>
      </c>
      <c r="C33" s="14" t="s">
        <v>566</v>
      </c>
    </row>
    <row r="34" spans="1:3">
      <c r="A34" s="14" t="s">
        <v>419</v>
      </c>
      <c r="B34" s="15" t="s">
        <v>534</v>
      </c>
      <c r="C34" s="14" t="s">
        <v>567</v>
      </c>
    </row>
    <row r="35" spans="1:3">
      <c r="A35" s="14" t="s">
        <v>128</v>
      </c>
      <c r="B35" s="15" t="s">
        <v>534</v>
      </c>
      <c r="C35" s="14" t="s">
        <v>568</v>
      </c>
    </row>
    <row r="36" spans="1:3">
      <c r="A36" s="14" t="s">
        <v>150</v>
      </c>
      <c r="B36" s="15" t="s">
        <v>534</v>
      </c>
      <c r="C36" s="14" t="s">
        <v>569</v>
      </c>
    </row>
    <row r="37" spans="1:3">
      <c r="A37" s="14" t="s">
        <v>160</v>
      </c>
      <c r="B37" s="15" t="s">
        <v>534</v>
      </c>
      <c r="C37" s="14" t="s">
        <v>570</v>
      </c>
    </row>
    <row r="38" spans="1:3">
      <c r="A38" s="14" t="s">
        <v>326</v>
      </c>
      <c r="B38" s="15" t="s">
        <v>534</v>
      </c>
      <c r="C38" s="14" t="s">
        <v>571</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572</v>
      </c>
      <c r="B1" s="11" t="s">
        <v>573</v>
      </c>
      <c r="C1" s="11" t="s">
        <v>3</v>
      </c>
      <c r="D1" s="11" t="s">
        <v>4</v>
      </c>
    </row>
    <row r="2" spans="1:4">
      <c r="A2" s="12">
        <f ca="1" t="shared" ref="A2:A12" si="0">TODAY()</f>
        <v>45960</v>
      </c>
      <c r="B2" s="9" t="s">
        <v>574</v>
      </c>
      <c r="C2" s="9" t="str">
        <f>VLOOKUP(D2,辅助信息!A:B,2,FALSE)</f>
        <v>盘螺</v>
      </c>
      <c r="D2" s="9" t="s">
        <v>41</v>
      </c>
    </row>
    <row r="3" spans="1:4">
      <c r="A3" s="12">
        <f ca="1" t="shared" si="0"/>
        <v>45960</v>
      </c>
      <c r="B3" s="9" t="s">
        <v>574</v>
      </c>
      <c r="C3" s="9" t="str">
        <f>VLOOKUP(D3,辅助信息!A:B,2,FALSE)</f>
        <v>螺纹钢</v>
      </c>
      <c r="D3" s="9" t="s">
        <v>27</v>
      </c>
    </row>
    <row r="4" spans="1:4">
      <c r="A4" s="12">
        <f ca="1" t="shared" si="0"/>
        <v>45960</v>
      </c>
      <c r="B4" s="9" t="s">
        <v>574</v>
      </c>
      <c r="C4" s="9" t="str">
        <f>VLOOKUP(D4,辅助信息!A:B,2,FALSE)</f>
        <v>螺纹钢</v>
      </c>
      <c r="D4" s="9" t="s">
        <v>19</v>
      </c>
    </row>
    <row r="5" spans="1:4">
      <c r="A5" s="12">
        <f ca="1" t="shared" si="0"/>
        <v>45960</v>
      </c>
      <c r="B5" s="9" t="s">
        <v>574</v>
      </c>
      <c r="C5" s="9" t="str">
        <f>VLOOKUP(D5,辅助信息!A:B,2,FALSE)</f>
        <v>螺纹钢</v>
      </c>
      <c r="D5" s="9" t="s">
        <v>28</v>
      </c>
    </row>
    <row r="6" spans="1:4">
      <c r="A6" s="12">
        <f ca="1" t="shared" si="0"/>
        <v>45960</v>
      </c>
      <c r="B6" s="9" t="s">
        <v>574</v>
      </c>
      <c r="C6" s="9" t="str">
        <f>VLOOKUP(D6,辅助信息!A:B,2,FALSE)</f>
        <v>螺纹钢</v>
      </c>
      <c r="D6" s="9" t="s">
        <v>52</v>
      </c>
    </row>
    <row r="7" spans="1:4">
      <c r="A7" s="12">
        <f ca="1" t="shared" si="0"/>
        <v>45960</v>
      </c>
      <c r="B7" s="9" t="s">
        <v>574</v>
      </c>
      <c r="C7" s="9" t="str">
        <f>VLOOKUP(D7,辅助信息!A:B,2,FALSE)</f>
        <v>螺纹钢</v>
      </c>
      <c r="D7" s="9" t="s">
        <v>76</v>
      </c>
    </row>
    <row r="8" spans="1:4">
      <c r="A8" s="12">
        <f ca="1" t="shared" si="0"/>
        <v>45960</v>
      </c>
      <c r="B8" s="9" t="s">
        <v>574</v>
      </c>
      <c r="C8" s="9" t="str">
        <f>VLOOKUP(D8,辅助信息!A:B,2,FALSE)</f>
        <v>螺纹钢</v>
      </c>
      <c r="D8" s="9" t="s">
        <v>86</v>
      </c>
    </row>
    <row r="9" spans="1:4">
      <c r="A9" s="12">
        <f ca="1" t="shared" si="0"/>
        <v>45960</v>
      </c>
      <c r="B9" s="9" t="s">
        <v>574</v>
      </c>
      <c r="C9" s="9" t="str">
        <f>VLOOKUP(D9,辅助信息!A:B,2,FALSE)</f>
        <v>螺纹钢</v>
      </c>
      <c r="D9" s="9" t="s">
        <v>82</v>
      </c>
    </row>
    <row r="10" spans="1:4">
      <c r="A10" s="12">
        <f ca="1" t="shared" si="0"/>
        <v>45960</v>
      </c>
      <c r="B10" s="9" t="s">
        <v>574</v>
      </c>
      <c r="C10" s="9" t="str">
        <f>VLOOKUP(D10,辅助信息!A:B,2,FALSE)</f>
        <v>螺纹钢</v>
      </c>
      <c r="D10" s="9" t="s">
        <v>45</v>
      </c>
    </row>
    <row r="11" spans="1:4">
      <c r="A11" s="12">
        <f ca="1" t="shared" si="0"/>
        <v>45960</v>
      </c>
      <c r="B11" s="9" t="s">
        <v>574</v>
      </c>
      <c r="C11" s="9" t="str">
        <f>VLOOKUP(D11,辅助信息!A:B,2,FALSE)</f>
        <v>螺纹钢</v>
      </c>
      <c r="D11" s="9" t="s">
        <v>21</v>
      </c>
    </row>
    <row r="12" ht="18.95" customHeight="1" spans="1:1">
      <c r="A12" s="12">
        <f ca="1" t="shared" si="0"/>
        <v>45960</v>
      </c>
    </row>
    <row r="13" spans="1:4">
      <c r="A13" s="12">
        <f ca="1" t="shared" ref="A13:A26" si="1">TODAY()</f>
        <v>45960</v>
      </c>
      <c r="B13" s="13" t="s">
        <v>575</v>
      </c>
      <c r="C13" s="9" t="str">
        <f>VLOOKUP(D13,辅助信息!A:B,2,FALSE)</f>
        <v>螺纹钢</v>
      </c>
      <c r="D13" s="9" t="s">
        <v>133</v>
      </c>
    </row>
    <row r="14" spans="1:4">
      <c r="A14" s="12">
        <f ca="1" t="shared" si="1"/>
        <v>45960</v>
      </c>
      <c r="B14" s="13" t="s">
        <v>575</v>
      </c>
      <c r="C14" s="9" t="str">
        <f>VLOOKUP(D14,辅助信息!A:B,2,FALSE)</f>
        <v>螺纹钢</v>
      </c>
      <c r="D14" s="9" t="s">
        <v>91</v>
      </c>
    </row>
    <row r="15" spans="1:4">
      <c r="A15" s="12">
        <f ca="1" t="shared" si="1"/>
        <v>45960</v>
      </c>
      <c r="B15" s="13" t="s">
        <v>575</v>
      </c>
      <c r="C15" s="9" t="str">
        <f>VLOOKUP(D15,辅助信息!A:B,2,FALSE)</f>
        <v>螺纹钢</v>
      </c>
      <c r="D15" s="9" t="s">
        <v>77</v>
      </c>
    </row>
    <row r="16" spans="1:4">
      <c r="A16" s="12">
        <f ca="1" t="shared" si="1"/>
        <v>45960</v>
      </c>
      <c r="B16" s="13" t="s">
        <v>575</v>
      </c>
      <c r="C16" s="9" t="str">
        <f>VLOOKUP(D16,辅助信息!A:B,2,FALSE)</f>
        <v>螺纹钢</v>
      </c>
      <c r="D16" s="9" t="s">
        <v>86</v>
      </c>
    </row>
    <row r="17" spans="1:4">
      <c r="A17" s="12">
        <f ca="1" t="shared" si="1"/>
        <v>45960</v>
      </c>
      <c r="B17" s="13" t="s">
        <v>575</v>
      </c>
      <c r="C17" s="9" t="str">
        <f>VLOOKUP(D17,辅助信息!A:B,2,FALSE)</f>
        <v>螺纹钢</v>
      </c>
      <c r="D17" s="9" t="s">
        <v>66</v>
      </c>
    </row>
    <row r="18" spans="1:4">
      <c r="A18" s="12">
        <f ca="1" t="shared" si="1"/>
        <v>45960</v>
      </c>
      <c r="B18" s="13" t="s">
        <v>575</v>
      </c>
      <c r="C18" s="9" t="str">
        <f>VLOOKUP(D18,辅助信息!A:B,2,FALSE)</f>
        <v>螺纹钢</v>
      </c>
      <c r="D18" s="9" t="s">
        <v>82</v>
      </c>
    </row>
    <row r="19" spans="1:4">
      <c r="A19" s="12">
        <f ca="1" t="shared" si="1"/>
        <v>45960</v>
      </c>
      <c r="B19" s="13" t="s">
        <v>575</v>
      </c>
      <c r="C19" s="9" t="str">
        <f>VLOOKUP(D19,辅助信息!A:B,2,FALSE)</f>
        <v>螺纹钢</v>
      </c>
      <c r="D19" s="9" t="s">
        <v>45</v>
      </c>
    </row>
    <row r="20" spans="1:4">
      <c r="A20" s="12">
        <f ca="1" t="shared" si="1"/>
        <v>45960</v>
      </c>
      <c r="B20" s="13" t="s">
        <v>575</v>
      </c>
      <c r="C20" s="9" t="str">
        <f>VLOOKUP(D20,辅助信息!A:B,2,FALSE)</f>
        <v>螺纹钢</v>
      </c>
      <c r="D20" s="9" t="s">
        <v>21</v>
      </c>
    </row>
    <row r="21" spans="1:4">
      <c r="A21" s="12">
        <f ca="1" t="shared" si="1"/>
        <v>45960</v>
      </c>
      <c r="B21" s="13" t="s">
        <v>575</v>
      </c>
      <c r="C21" s="9" t="str">
        <f>VLOOKUP(D21,辅助信息!A:B,2,FALSE)</f>
        <v>螺纹钢</v>
      </c>
      <c r="D21" s="9" t="s">
        <v>58</v>
      </c>
    </row>
    <row r="22" spans="1:4">
      <c r="A22" s="12">
        <f ca="1" t="shared" si="1"/>
        <v>45960</v>
      </c>
      <c r="B22" s="13" t="s">
        <v>575</v>
      </c>
      <c r="C22" s="9" t="str">
        <f>VLOOKUP(D22,辅助信息!A:B,2,FALSE)</f>
        <v>螺纹钢</v>
      </c>
      <c r="D22" s="9" t="s">
        <v>46</v>
      </c>
    </row>
    <row r="23" spans="1:4">
      <c r="A23" s="12">
        <f ca="1" t="shared" si="1"/>
        <v>45960</v>
      </c>
      <c r="B23" s="13" t="s">
        <v>575</v>
      </c>
      <c r="C23" s="9" t="str">
        <f>VLOOKUP(D23,辅助信息!A:B,2,FALSE)</f>
        <v>螺纹钢</v>
      </c>
      <c r="D23" s="9" t="s">
        <v>22</v>
      </c>
    </row>
    <row r="24" spans="1:4">
      <c r="A24" s="12">
        <f ca="1" t="shared" si="1"/>
        <v>45960</v>
      </c>
      <c r="B24" s="13" t="s">
        <v>575</v>
      </c>
      <c r="C24" s="9" t="str">
        <f>VLOOKUP(D24,辅助信息!A:B,2,FALSE)</f>
        <v>螺纹钢</v>
      </c>
      <c r="D24" s="9" t="s">
        <v>181</v>
      </c>
    </row>
    <row r="25" spans="1:4">
      <c r="A25" s="12">
        <f ca="1" t="shared" si="1"/>
        <v>45960</v>
      </c>
      <c r="B25" s="13" t="s">
        <v>575</v>
      </c>
      <c r="C25" s="9" t="str">
        <f>VLOOKUP(D25,辅助信息!A:B,2,FALSE)</f>
        <v>螺纹钢</v>
      </c>
      <c r="D25" s="9" t="s">
        <v>182</v>
      </c>
    </row>
    <row r="26" spans="1:4">
      <c r="A26" s="12">
        <f ca="1" t="shared" si="1"/>
        <v>45960</v>
      </c>
      <c r="B26" s="9" t="s">
        <v>576</v>
      </c>
      <c r="C26" s="9" t="str">
        <f>VLOOKUP(D26,辅助信息!A:B,2,FALSE)</f>
        <v>盘螺</v>
      </c>
      <c r="D26" s="9" t="s">
        <v>49</v>
      </c>
    </row>
    <row r="27" spans="1:4">
      <c r="A27" s="12">
        <f ca="1" t="shared" ref="A27:A36" si="2">TODAY()</f>
        <v>45960</v>
      </c>
      <c r="B27" s="9" t="s">
        <v>576</v>
      </c>
      <c r="C27" s="9" t="str">
        <f>VLOOKUP(D27,辅助信息!A:B,2,FALSE)</f>
        <v>盘螺</v>
      </c>
      <c r="D27" s="9" t="s">
        <v>40</v>
      </c>
    </row>
    <row r="28" spans="1:4">
      <c r="A28" s="12">
        <f ca="1" t="shared" si="2"/>
        <v>45960</v>
      </c>
      <c r="B28" s="9" t="s">
        <v>576</v>
      </c>
      <c r="C28" s="9" t="str">
        <f>VLOOKUP(D28,辅助信息!A:B,2,FALSE)</f>
        <v>盘螺</v>
      </c>
      <c r="D28" s="9" t="s">
        <v>41</v>
      </c>
    </row>
    <row r="29" spans="1:4">
      <c r="A29" s="12">
        <f ca="1" t="shared" si="2"/>
        <v>45960</v>
      </c>
      <c r="B29" s="9" t="s">
        <v>576</v>
      </c>
      <c r="C29" s="9" t="str">
        <f>VLOOKUP(D29,辅助信息!A:B,2,FALSE)</f>
        <v>盘螺</v>
      </c>
      <c r="D29" s="9" t="s">
        <v>26</v>
      </c>
    </row>
    <row r="30" spans="1:4">
      <c r="A30" s="12">
        <f ca="1" t="shared" si="2"/>
        <v>45960</v>
      </c>
      <c r="B30" s="9" t="s">
        <v>576</v>
      </c>
      <c r="C30" s="9" t="e">
        <f>VLOOKUP(D30,辅助信息!A:B,2,FALSE)</f>
        <v>#N/A</v>
      </c>
      <c r="D30" s="9" t="s">
        <v>577</v>
      </c>
    </row>
    <row r="31" spans="1:4">
      <c r="A31" s="12">
        <f ca="1" t="shared" si="2"/>
        <v>45960</v>
      </c>
      <c r="B31" s="9" t="s">
        <v>576</v>
      </c>
      <c r="C31" s="9" t="str">
        <f>VLOOKUP(D31,辅助信息!A:B,2,FALSE)</f>
        <v>螺纹钢</v>
      </c>
      <c r="D31" s="9" t="s">
        <v>27</v>
      </c>
    </row>
    <row r="32" spans="1:4">
      <c r="A32" s="12">
        <f ca="1" t="shared" si="2"/>
        <v>45960</v>
      </c>
      <c r="B32" s="9" t="s">
        <v>576</v>
      </c>
      <c r="C32" s="9" t="str">
        <f>VLOOKUP(D32,辅助信息!A:B,2,FALSE)</f>
        <v>螺纹钢</v>
      </c>
      <c r="D32" s="9" t="s">
        <v>19</v>
      </c>
    </row>
    <row r="33" spans="1:4">
      <c r="A33" s="12">
        <f ca="1" t="shared" si="2"/>
        <v>45960</v>
      </c>
      <c r="B33" s="9" t="s">
        <v>576</v>
      </c>
      <c r="C33" s="9" t="str">
        <f>VLOOKUP(D33,辅助信息!A:B,2,FALSE)</f>
        <v>螺纹钢</v>
      </c>
      <c r="D33" s="9" t="s">
        <v>32</v>
      </c>
    </row>
    <row r="34" spans="1:4">
      <c r="A34" s="12">
        <f ca="1" t="shared" si="2"/>
        <v>45960</v>
      </c>
      <c r="B34" s="9" t="s">
        <v>576</v>
      </c>
      <c r="C34" s="9" t="str">
        <f>VLOOKUP(D34,辅助信息!A:B,2,FALSE)</f>
        <v>螺纹钢</v>
      </c>
      <c r="D34" s="9" t="s">
        <v>33</v>
      </c>
    </row>
    <row r="35" spans="1:4">
      <c r="A35" s="12">
        <f ca="1" t="shared" si="2"/>
        <v>45960</v>
      </c>
      <c r="B35" s="9" t="s">
        <v>576</v>
      </c>
      <c r="C35" s="9" t="str">
        <f>VLOOKUP(D35,辅助信息!A:B,2,FALSE)</f>
        <v>螺纹钢</v>
      </c>
      <c r="D35" s="9" t="s">
        <v>28</v>
      </c>
    </row>
    <row r="36" spans="1:4">
      <c r="A36" s="12">
        <f ca="1" t="shared" si="2"/>
        <v>45960</v>
      </c>
      <c r="B36" s="9" t="s">
        <v>576</v>
      </c>
      <c r="C36" s="9" t="str">
        <f>VLOOKUP(D36,辅助信息!A:B,2,FALSE)</f>
        <v>螺纹钢</v>
      </c>
      <c r="D36" s="9" t="s">
        <v>18</v>
      </c>
    </row>
    <row r="37" spans="1:4">
      <c r="A37" s="12">
        <f ca="1" t="shared" ref="A37:A46" si="3">TODAY()</f>
        <v>45960</v>
      </c>
      <c r="B37" s="9" t="s">
        <v>576</v>
      </c>
      <c r="C37" s="9" t="str">
        <f>VLOOKUP(D37,辅助信息!A:B,2,FALSE)</f>
        <v>螺纹钢</v>
      </c>
      <c r="D37" s="9" t="s">
        <v>65</v>
      </c>
    </row>
    <row r="38" spans="1:4">
      <c r="A38" s="12">
        <f ca="1" t="shared" si="3"/>
        <v>45960</v>
      </c>
      <c r="B38" s="9" t="s">
        <v>576</v>
      </c>
      <c r="C38" s="9" t="str">
        <f>VLOOKUP(D38,辅助信息!A:B,2,FALSE)</f>
        <v>螺纹钢</v>
      </c>
      <c r="D38" s="9" t="s">
        <v>52</v>
      </c>
    </row>
    <row r="39" spans="1:4">
      <c r="A39" s="12">
        <f ca="1" t="shared" si="3"/>
        <v>45960</v>
      </c>
      <c r="B39" s="9" t="s">
        <v>576</v>
      </c>
      <c r="C39" s="9" t="str">
        <f>VLOOKUP(D39,辅助信息!A:B,2,FALSE)</f>
        <v>螺纹钢</v>
      </c>
      <c r="D39" s="9" t="s">
        <v>111</v>
      </c>
    </row>
    <row r="40" spans="1:4">
      <c r="A40" s="12">
        <f ca="1" t="shared" si="3"/>
        <v>45960</v>
      </c>
      <c r="B40" s="9" t="s">
        <v>576</v>
      </c>
      <c r="C40" s="9" t="str">
        <f>VLOOKUP(D40,辅助信息!A:B,2,FALSE)</f>
        <v>螺纹钢</v>
      </c>
      <c r="D40" s="9" t="s">
        <v>76</v>
      </c>
    </row>
    <row r="41" spans="1:4">
      <c r="A41" s="12">
        <f ca="1" t="shared" si="3"/>
        <v>45960</v>
      </c>
      <c r="B41" s="9" t="s">
        <v>576</v>
      </c>
      <c r="C41" s="9" t="str">
        <f>VLOOKUP(D41,辅助信息!A:B,2,FALSE)</f>
        <v>螺纹钢</v>
      </c>
      <c r="D41" s="9" t="s">
        <v>90</v>
      </c>
    </row>
    <row r="42" spans="1:4">
      <c r="A42" s="12">
        <f ca="1" t="shared" si="3"/>
        <v>45960</v>
      </c>
      <c r="B42" s="9" t="s">
        <v>576</v>
      </c>
      <c r="C42" s="9" t="str">
        <f>VLOOKUP(D42,辅助信息!A:B,2,FALSE)</f>
        <v>螺纹钢</v>
      </c>
      <c r="D42" s="9" t="s">
        <v>130</v>
      </c>
    </row>
    <row r="43" spans="1:4">
      <c r="A43" s="12">
        <f ca="1" t="shared" si="3"/>
        <v>45960</v>
      </c>
      <c r="B43" s="9" t="s">
        <v>576</v>
      </c>
      <c r="C43" s="9" t="str">
        <f>VLOOKUP(D43,辅助信息!A:B,2,FALSE)</f>
        <v>螺纹钢</v>
      </c>
      <c r="D43" s="9" t="s">
        <v>133</v>
      </c>
    </row>
    <row r="44" spans="1:4">
      <c r="A44" s="12">
        <f ca="1" t="shared" si="3"/>
        <v>45960</v>
      </c>
      <c r="B44" s="9" t="s">
        <v>576</v>
      </c>
      <c r="C44" s="9" t="str">
        <f>VLOOKUP(D44,辅助信息!A:B,2,FALSE)</f>
        <v>螺纹钢</v>
      </c>
      <c r="D44" s="9" t="s">
        <v>91</v>
      </c>
    </row>
    <row r="45" spans="1:4">
      <c r="A45" s="12">
        <f ca="1" t="shared" si="3"/>
        <v>45960</v>
      </c>
      <c r="B45" s="9" t="s">
        <v>576</v>
      </c>
      <c r="C45" s="9" t="str">
        <f>VLOOKUP(D45,辅助信息!A:B,2,FALSE)</f>
        <v>螺纹钢</v>
      </c>
      <c r="D45" s="9" t="s">
        <v>77</v>
      </c>
    </row>
    <row r="46" spans="1:4">
      <c r="A46" s="12">
        <f ca="1" t="shared" si="3"/>
        <v>45960</v>
      </c>
      <c r="B46" s="9" t="s">
        <v>576</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578</v>
      </c>
      <c r="G1" s="2" t="s">
        <v>7</v>
      </c>
      <c r="H1" s="2" t="str">
        <f>'[1]2025年已发货'!H:H</f>
        <v>联系人</v>
      </c>
      <c r="I1" s="2" t="str">
        <f>'[1]2025年已发货'!I:I</f>
        <v>联系方式</v>
      </c>
      <c r="J1" s="6" t="s">
        <v>16</v>
      </c>
      <c r="K1" s="6" t="s">
        <v>579</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HPB300Φ8</v>
      </c>
      <c r="D9057" s="2" t="str">
        <f>'[1]2025年已发货'!D:D</f>
        <v>吨</v>
      </c>
      <c r="E9057" s="2">
        <f>'[1]2025年已发货'!E:E</f>
        <v>2</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高线</v>
      </c>
      <c r="C9058" s="2" t="str">
        <f>'[1]2025年已发货'!C:C</f>
        <v>HPB300Φ6</v>
      </c>
      <c r="D9058" s="2" t="str">
        <f>'[1]2025年已发货'!D:D</f>
        <v>吨</v>
      </c>
      <c r="E9058" s="2">
        <f>'[1]2025年已发货'!E:E</f>
        <v>6</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盘螺</v>
      </c>
      <c r="C9059" s="2" t="str">
        <f>'[1]2025年已发货'!C:C</f>
        <v>HRB400EФ8</v>
      </c>
      <c r="D9059" s="2" t="str">
        <f>'[1]2025年已发货'!D:D</f>
        <v>吨</v>
      </c>
      <c r="E9059" s="2">
        <f>'[1]2025年已发货'!E:E</f>
        <v>15.5</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达钢</v>
      </c>
      <c r="B9060" s="2" t="str">
        <f>'[1]2025年已发货'!B:B</f>
        <v>螺纹钢</v>
      </c>
      <c r="C9060" s="2" t="str">
        <f>'[1]2025年已发货'!C:C</f>
        <v>HRB400EФ14*12m</v>
      </c>
      <c r="D9060" s="2" t="str">
        <f>'[1]2025年已发货'!D:D</f>
        <v>吨</v>
      </c>
      <c r="E9060" s="2">
        <f>'[1]2025年已发货'!E:E</f>
        <v>6</v>
      </c>
      <c r="F9060" s="4">
        <f>'[1]2025年已发货'!F:F</f>
        <v>45958</v>
      </c>
      <c r="G9060" s="2" t="str">
        <f>'[1]2025年已发货'!G:G</f>
        <v>（北京工程局乐山机场项目）乐山市五通桥区冠英镇</v>
      </c>
      <c r="H9060" s="2" t="str">
        <f>'[1]2025年已发货'!H:H</f>
        <v>王治</v>
      </c>
      <c r="I9060" s="2">
        <f>'[1]2025年已发货'!I:I</f>
        <v>18811564698</v>
      </c>
      <c r="J9060" s="2" vm="1" t="e">
        <f>_xlfn._xlws.FILTER(辅助信息!D:D,辅助信息!G:G=G9060)</f>
        <v>#VALUE!</v>
      </c>
    </row>
    <row r="9061" spans="1:10">
      <c r="A9061" s="2" t="str">
        <f>'[1]2025年已发货'!A:A</f>
        <v>泸钢</v>
      </c>
      <c r="B9061" s="2" t="str">
        <f>'[1]2025年已发货'!B:B</f>
        <v>螺纹钢</v>
      </c>
      <c r="C9061" s="2" t="str">
        <f>'[1]2025年已发货'!C:C</f>
        <v>HRB400E Φ16 9m</v>
      </c>
      <c r="D9061" s="2" t="str">
        <f>'[1]2025年已发货'!D:D</f>
        <v>吨</v>
      </c>
      <c r="E9061" s="2">
        <f>'[1]2025年已发货'!E:E</f>
        <v>30</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v>
      </c>
      <c r="B9062" s="2" t="str">
        <f>'[1]2025年已发货'!B:B</f>
        <v>螺纹钢</v>
      </c>
      <c r="C9062" s="2" t="str">
        <f>'[1]2025年已发货'!C:C</f>
        <v>HRB400E Φ18 9m</v>
      </c>
      <c r="D9062" s="2" t="str">
        <f>'[1]2025年已发货'!D:D</f>
        <v>吨</v>
      </c>
      <c r="E9062" s="2">
        <f>'[1]2025年已发货'!E:E</f>
        <v>5</v>
      </c>
      <c r="F9062" s="4">
        <f>'[1]2025年已发货'!F:F</f>
        <v>45958</v>
      </c>
      <c r="G9062" s="2" t="str">
        <f>'[1]2025年已发货'!G:G</f>
        <v>(五冶钢构龙泉东洪片区70亩住宅、商业及配套工程项目三标段)成都市龙泉驿外东洪路地铁2号线惠王陵地铁C口</v>
      </c>
      <c r="H9062" s="2" t="str">
        <f>'[1]2025年已发货'!H:H</f>
        <v>蒋嗣伟</v>
      </c>
      <c r="I9062" s="2">
        <f>'[1]2025年已发货'!I:I</f>
        <v>15014331252</v>
      </c>
      <c r="J9062" s="2" t="str">
        <f>_xlfn._xlws.FILTER(辅助信息!D:D,辅助信息!G:G=G9062)</f>
        <v>五冶钢构龙泉东洪片区(70亩、85亩)住宅、商业及配套工程项目</v>
      </c>
    </row>
    <row r="9063" spans="1:10">
      <c r="A9063" s="2" t="str">
        <f>'[1]2025年已发货'!A:A</f>
        <v>泸钢（代）</v>
      </c>
      <c r="B9063" s="2" t="str">
        <f>'[1]2025年已发货'!B:B</f>
        <v>盘圆</v>
      </c>
      <c r="C9063" s="2" t="str">
        <f>'[1]2025年已发货'!C:C</f>
        <v>HPB300Φ12mm</v>
      </c>
      <c r="D9063" s="2" t="str">
        <f>'[1]2025年已发货'!D:D</f>
        <v>吨</v>
      </c>
      <c r="E9063" s="2">
        <f>'[1]2025年已发货'!E:E</f>
        <v>15</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泸钢（代）</v>
      </c>
      <c r="B9064" s="2" t="str">
        <f>'[1]2025年已发货'!B:B</f>
        <v>螺纹钢</v>
      </c>
      <c r="C9064" s="2" t="str">
        <f>'[1]2025年已发货'!C:C</f>
        <v>HRB500EΦ32*12m</v>
      </c>
      <c r="D9064" s="2" t="str">
        <f>'[1]2025年已发货'!D:D</f>
        <v>吨</v>
      </c>
      <c r="E9064" s="2">
        <f>'[1]2025年已发货'!E:E</f>
        <v>20</v>
      </c>
      <c r="F9064" s="4">
        <f>'[1]2025年已发货'!F:F</f>
        <v>45958</v>
      </c>
      <c r="G9064" s="2" t="str">
        <f>'[1]2025年已发货'!G:G</f>
        <v>（成峨1标）眉山市彭山区谢家街道跳墩子</v>
      </c>
      <c r="H9064" s="2" t="str">
        <f>'[1]2025年已发货'!H:H</f>
        <v>曾毅</v>
      </c>
      <c r="I9064" s="2" t="str">
        <f>'[1]2025年已发货'!I:I</f>
        <v>13982229815</v>
      </c>
      <c r="J9064" s="2" vm="1" t="e">
        <f>_xlfn._xlws.FILTER(辅助信息!D:D,辅助信息!G:G=G9064)</f>
        <v>#VALUE!</v>
      </c>
    </row>
    <row r="9065" spans="1:10">
      <c r="A9065" s="2" t="str">
        <f>'[1]2025年已发货'!A:A</f>
        <v>泸钢</v>
      </c>
      <c r="B9065" s="2" t="str">
        <f>'[1]2025年已发货'!B:B</f>
        <v>高线</v>
      </c>
      <c r="C9065" s="2" t="str">
        <f>'[1]2025年已发货'!C:C</f>
        <v>HPB300 Φ10</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Φ12×9米</v>
      </c>
      <c r="D9066" s="2" t="str">
        <f>'[1]2025年已发货'!D:D</f>
        <v>吨</v>
      </c>
      <c r="E9066" s="2">
        <f>'[1]2025年已发货'!E:E</f>
        <v>5</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Φ22×9米</v>
      </c>
      <c r="D9067" s="2" t="str">
        <f>'[1]2025年已发货'!D:D</f>
        <v>吨</v>
      </c>
      <c r="E9067" s="2">
        <f>'[1]2025年已发货'!E:E</f>
        <v>10</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Φ20×9米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Φ25×9米</v>
      </c>
      <c r="D9069" s="2" t="str">
        <f>'[1]2025年已发货'!D:D</f>
        <v>吨</v>
      </c>
      <c r="E9069" s="2">
        <f>'[1]2025年已发货'!E:E</f>
        <v>7.5</v>
      </c>
      <c r="F9069" s="4">
        <f>'[1]2025年已发货'!F:F</f>
        <v>45958</v>
      </c>
      <c r="G9069" s="2" t="str">
        <f>'[1]2025年已发货'!G:G</f>
        <v>自永高速一标二工区（连接线</v>
      </c>
      <c r="H9069" s="2" t="str">
        <f>'[1]2025年已发货'!H:H</f>
        <v>余伯宣</v>
      </c>
      <c r="I9069" s="2">
        <f>'[1]2025年已发货'!I:I</f>
        <v>13778530969</v>
      </c>
      <c r="J9069" s="2" vm="1" t="e">
        <f>_xlfn._xlws.FILTER(辅助信息!D:D,辅助信息!G:G=G9069)</f>
        <v>#VALUE!</v>
      </c>
    </row>
    <row r="9070" spans="1:10">
      <c r="A9070" s="2" t="str">
        <f>'[1]2025年已发货'!A:A</f>
        <v>泸钢</v>
      </c>
      <c r="B9070" s="2" t="str">
        <f>'[1]2025年已发货'!B:B</f>
        <v>螺纹钢</v>
      </c>
      <c r="C9070" s="2" t="str">
        <f>'[1]2025年已发货'!C:C</f>
        <v>HRB400E Φ12×9米</v>
      </c>
      <c r="D9070" s="2" t="str">
        <f>'[1]2025年已发货'!D:D</f>
        <v>吨</v>
      </c>
      <c r="E9070" s="2">
        <f>'[1]2025年已发货'!E:E</f>
        <v>17.5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高线</v>
      </c>
      <c r="C9071" s="2" t="str">
        <f>'[1]2025年已发货'!C:C</f>
        <v>HPB300  Φ12</v>
      </c>
      <c r="D9071" s="2" t="str">
        <f>'[1]2025年已发货'!D:D</f>
        <v>吨</v>
      </c>
      <c r="E9071" s="2">
        <f>'[1]2025年已发货'!E:E</f>
        <v>2.5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Φ16×9米</v>
      </c>
      <c r="D9072" s="2" t="str">
        <f>'[1]2025年已发货'!D:D</f>
        <v>吨</v>
      </c>
      <c r="E9072" s="2">
        <f>'[1]2025年已发货'!E:E</f>
        <v>5</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螺纹钢</v>
      </c>
      <c r="C9073" s="2" t="str">
        <f>'[1]2025年已发货'!C:C</f>
        <v>HRB400E Φ16×12米</v>
      </c>
      <c r="D9073" s="2" t="str">
        <f>'[1]2025年已发货'!D:D</f>
        <v>吨</v>
      </c>
      <c r="E9073" s="2">
        <f>'[1]2025年已发货'!E:E</f>
        <v>10</v>
      </c>
      <c r="F9073" s="4">
        <f>'[1]2025年已发货'!F:F</f>
        <v>45958</v>
      </c>
      <c r="G9073" s="2" t="str">
        <f>'[1]2025年已发货'!G:G</f>
        <v>（自永高速-自永3标六局交通分公司）四川省内江市隆昌市圣灯镇中心学校</v>
      </c>
      <c r="H9073" s="2" t="str">
        <f>'[1]2025年已发货'!H:H</f>
        <v>李宏权</v>
      </c>
      <c r="I9073" s="2">
        <f>'[1]2025年已发货'!I:I</f>
        <v>19212995868</v>
      </c>
      <c r="J9073" s="2" vm="1" t="e">
        <f>_xlfn._xlws.FILTER(辅助信息!D:D,辅助信息!G:G=G9073)</f>
        <v>#VALUE!</v>
      </c>
    </row>
    <row r="9074" spans="1:10">
      <c r="A9074" s="2" t="str">
        <f>'[1]2025年已发货'!A:A</f>
        <v>泸钢</v>
      </c>
      <c r="B9074" s="2" t="str">
        <f>'[1]2025年已发货'!B:B</f>
        <v>盘螺</v>
      </c>
      <c r="C9074" s="2" t="str">
        <f>'[1]2025年已发货'!C:C</f>
        <v>HRB400E Φ8</v>
      </c>
      <c r="D9074" s="2" t="str">
        <f>'[1]2025年已发货'!D:D</f>
        <v>吨</v>
      </c>
      <c r="E9074" s="2">
        <f>'[1]2025年已发货'!E:E</f>
        <v>35</v>
      </c>
      <c r="F9074" s="4">
        <f>'[1]2025年已发货'!F:F</f>
        <v>45958</v>
      </c>
      <c r="G9074" s="2" t="str">
        <f>'[1]2025年已发货'!G:G</f>
        <v>(宜宾兴港三江新区长江工业园保障性租赁住房建设项目-土建)四川省宜宾市翠屏区永善路南段宜宾市三江新区长江工业园区</v>
      </c>
      <c r="H9074" s="2" t="str">
        <f>'[1]2025年已发货'!H:H</f>
        <v>赵元虎</v>
      </c>
      <c r="I9074" s="2">
        <f>'[1]2025年已发货'!I:I</f>
        <v>13684167136</v>
      </c>
      <c r="J9074" s="2" t="str">
        <f>_xlfn._xlws.FILTER(辅助信息!D:D,辅助信息!G:G=G9074)</f>
        <v>宜宾兴港三江新区长江工业园建设项目</v>
      </c>
    </row>
    <row r="9075" spans="1:10">
      <c r="A9075" s="2" t="str">
        <f>'[1]2025年已发货'!A:A</f>
        <v>润耀</v>
      </c>
      <c r="B9075" s="2" t="str">
        <f>'[1]2025年已发货'!B:B</f>
        <v>螺纹钢</v>
      </c>
      <c r="C9075" s="2" t="str">
        <f>'[1]2025年已发货'!C:C</f>
        <v>HRB400EФ12，12m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润耀</v>
      </c>
      <c r="B9076" s="2" t="str">
        <f>'[1]2025年已发货'!B:B</f>
        <v>螺纹钢</v>
      </c>
      <c r="C9076" s="2" t="str">
        <f>'[1]2025年已发货'!C:C</f>
        <v>HRB400EФ16，12m</v>
      </c>
      <c r="D9076" s="2" t="str">
        <f>'[1]2025年已发货'!D:D</f>
        <v>吨</v>
      </c>
      <c r="E9076" s="2">
        <f>'[1]2025年已发货'!E:E</f>
        <v>35</v>
      </c>
      <c r="F9076" s="4">
        <f>'[1]2025年已发货'!F:F</f>
        <v>45959</v>
      </c>
      <c r="G9076" s="2" t="str">
        <f>'[1]2025年已发货'!G:G</f>
        <v>（中铁广州局-成渝扩容2标）四川省资阳市雁江区石岭镇易家沟2号梁场</v>
      </c>
      <c r="H9076" s="2" t="str">
        <f>'[1]2025年已发货'!H:H</f>
        <v>孙鹏飞</v>
      </c>
      <c r="I9076" s="2">
        <f>'[1]2025年已发货'!I:I</f>
        <v>18011784798</v>
      </c>
      <c r="J9076" s="2" vm="1" t="e">
        <f>_xlfn._xlws.FILTER(辅助信息!D:D,辅助信息!G:G=G9076)</f>
        <v>#VALUE!</v>
      </c>
    </row>
    <row r="9077" spans="1:10">
      <c r="A9077" s="2" t="str">
        <f>'[1]2025年已发货'!A:A</f>
        <v>德胜</v>
      </c>
      <c r="B9077" s="2" t="str">
        <f>'[1]2025年已发货'!B:B</f>
        <v>螺纹钢</v>
      </c>
      <c r="C9077" s="2" t="str">
        <f>'[1]2025年已发货'!C:C</f>
        <v>HRB400EФ28，12m</v>
      </c>
      <c r="D9077" s="2" t="str">
        <f>'[1]2025年已发货'!D:D</f>
        <v>吨</v>
      </c>
      <c r="E9077" s="2">
        <f>'[1]2025年已发货'!E:E</f>
        <v>70</v>
      </c>
      <c r="F9077" s="4">
        <f>'[1]2025年已发货'!F:F</f>
        <v>45959</v>
      </c>
      <c r="G9077" s="2" t="str">
        <f>'[1]2025年已发货'!G:G</f>
        <v>（中铁广州局-成渝扩容2标）四川省内江市资中县双龙镇朱家房子成渝扩容ZCB3-2标1#钢筋厂</v>
      </c>
      <c r="H9077" s="2" t="str">
        <f>'[1]2025年已发货'!H:H</f>
        <v>石雄</v>
      </c>
      <c r="I9077" s="2">
        <f>'[1]2025年已发货'!I:I</f>
        <v>13268388125</v>
      </c>
      <c r="J9077" s="2" vm="1" t="e">
        <f>_xlfn._xlws.FILTER(辅助信息!D:D,辅助信息!G:G=G9077)</f>
        <v>#VALUE!</v>
      </c>
    </row>
    <row r="9078" spans="1:10">
      <c r="A9078" s="2" t="str">
        <f>'[1]2025年已发货'!A:A</f>
        <v>德胜</v>
      </c>
      <c r="B9078" s="2" t="str">
        <f>'[1]2025年已发货'!B:B</f>
        <v>螺纹钢</v>
      </c>
      <c r="C9078" s="2" t="str">
        <f>'[1]2025年已发货'!C:C</f>
        <v>HRB400EФ12*9m</v>
      </c>
      <c r="D9078" s="2" t="str">
        <f>'[1]2025年已发货'!D:D</f>
        <v>吨</v>
      </c>
      <c r="E9078" s="2">
        <f>'[1]2025年已发货'!E:E</f>
        <v>30</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HRB500EФ18*9m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v>
      </c>
      <c r="B9080" s="2" t="str">
        <f>'[1]2025年已发货'!B:B</f>
        <v>螺纹钢</v>
      </c>
      <c r="C9080" s="2" t="str">
        <f>'[1]2025年已发货'!C:C</f>
        <v>HRB500EФ22*9m</v>
      </c>
      <c r="D9080" s="2" t="str">
        <f>'[1]2025年已发货'!D:D</f>
        <v>吨</v>
      </c>
      <c r="E9080" s="2">
        <f>'[1]2025年已发货'!E:E</f>
        <v>2</v>
      </c>
      <c r="F9080" s="4">
        <f>'[1]2025年已发货'!F:F</f>
        <v>45959</v>
      </c>
      <c r="G9080" s="2" t="str">
        <f>'[1]2025年已发货'!G:G</f>
        <v>（中核中原-温江北林医养综合体项目）四川省成都市温江区万春大道第三人民医院东</v>
      </c>
      <c r="H9080" s="2" t="str">
        <f>'[1]2025年已发货'!H:H</f>
        <v>蔡杰</v>
      </c>
      <c r="I9080" s="2">
        <f>'[1]2025年已发货'!I:I</f>
        <v>18875129329</v>
      </c>
      <c r="J9080" s="2" vm="1" t="e">
        <f>_xlfn._xlws.FILTER(辅助信息!D:D,辅助信息!G:G=G9080)</f>
        <v>#VALUE!</v>
      </c>
    </row>
    <row r="9081" spans="1:10">
      <c r="A9081" s="2" t="str">
        <f>'[1]2025年已发货'!A:A</f>
        <v>德胜恒嘉</v>
      </c>
      <c r="B9081" s="2" t="str">
        <f>'[1]2025年已发货'!B:B</f>
        <v>螺纹钢</v>
      </c>
      <c r="C9081" s="2" t="str">
        <f>'[1]2025年已发货'!C:C</f>
        <v>HRB400EФ22*9m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HRB500EФ22*9m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HRB500EФ25*9m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HRB500EФ28*9m</v>
      </c>
      <c r="D9084" s="2" t="str">
        <f>'[1]2025年已发货'!D:D</f>
        <v>吨</v>
      </c>
      <c r="E9084" s="2">
        <f>'[1]2025年已发货'!E:E</f>
        <v>35</v>
      </c>
      <c r="F9084" s="4">
        <f>'[1]2025年已发货'!F:F</f>
        <v>45959</v>
      </c>
      <c r="G9084" s="2" t="str">
        <f>'[1]2025年已发货'!G:G</f>
        <v>（中铁六局呼和公司康新高速TJ4-2标）四川省甘孜藏族自治州康定市新都桥镇东俄罗三村中建八局搅拌站旁</v>
      </c>
      <c r="H9084" s="2" t="str">
        <f>'[1]2025年已发货'!H:H</f>
        <v>许文刚</v>
      </c>
      <c r="I9084" s="2">
        <f>'[1]2025年已发货'!I:I</f>
        <v>15848808186</v>
      </c>
      <c r="J9084" s="2" vm="1" t="e">
        <f>_xlfn._xlws.FILTER(辅助信息!D:D,辅助信息!G:G=G9084)</f>
        <v>#VALUE!</v>
      </c>
    </row>
    <row r="9085" spans="1:10">
      <c r="A9085" s="2" t="str">
        <f>'[1]2025年已发货'!A:A</f>
        <v>德胜恒嘉</v>
      </c>
      <c r="B9085" s="2" t="str">
        <f>'[1]2025年已发货'!B:B</f>
        <v>螺纹钢</v>
      </c>
      <c r="C9085" s="2" t="str">
        <f>'[1]2025年已发货'!C:C</f>
        <v>HRB500EФ25，12m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HRB500EФ28，9m</v>
      </c>
      <c r="D9086" s="2" t="str">
        <f>'[1]2025年已发货'!D:D</f>
        <v>吨</v>
      </c>
      <c r="E9086" s="2">
        <f>'[1]2025年已发货'!E:E</f>
        <v>70</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德胜恒嘉</v>
      </c>
      <c r="B9087" s="2" t="str">
        <f>'[1]2025年已发货'!B:B</f>
        <v>螺纹钢</v>
      </c>
      <c r="C9087" s="2" t="str">
        <f>'[1]2025年已发货'!C:C</f>
        <v>HRB400EФ28，9m</v>
      </c>
      <c r="D9087" s="2" t="str">
        <f>'[1]2025年已发货'!D:D</f>
        <v>吨</v>
      </c>
      <c r="E9087" s="2">
        <f>'[1]2025年已发货'!E:E</f>
        <v>35</v>
      </c>
      <c r="F9087" s="4">
        <f>'[1]2025年已发货'!F:F</f>
        <v>45959</v>
      </c>
      <c r="G9087" s="2" t="str">
        <f>'[1]2025年已发货'!G:G</f>
        <v>（中铁十局-资乐高速4标）四川省眉山市仁寿县彰加镇促进村中铁十局资乐高速1#钢筋场</v>
      </c>
      <c r="H9087" s="2" t="str">
        <f>'[1]2025年已发货'!H:H</f>
        <v>杨飞</v>
      </c>
      <c r="I9087" s="2">
        <f>'[1]2025年已发货'!I:I</f>
        <v>15667998777</v>
      </c>
      <c r="J9087" s="2" vm="1" t="e">
        <f>_xlfn._xlws.FILTER(辅助信息!D:D,辅助信息!G:G=G9087)</f>
        <v>#VALUE!</v>
      </c>
    </row>
    <row r="9088" spans="1:10">
      <c r="A9088" s="2" t="str">
        <f>'[1]2025年已发货'!A:A</f>
        <v>润耀</v>
      </c>
      <c r="B9088" s="2" t="str">
        <f>'[1]2025年已发货'!B:B</f>
        <v>盘螺</v>
      </c>
      <c r="C9088" s="2" t="str">
        <f>'[1]2025年已发货'!C:C</f>
        <v>HRB400EΦ8</v>
      </c>
      <c r="D9088" s="2" t="str">
        <f>'[1]2025年已发货'!D:D</f>
        <v>吨</v>
      </c>
      <c r="E9088" s="2">
        <f>'[1]2025年已发货'!E:E</f>
        <v>15</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润耀</v>
      </c>
      <c r="B9089" s="2" t="str">
        <f>'[1]2025年已发货'!B:B</f>
        <v>盘螺</v>
      </c>
      <c r="C9089" s="2" t="str">
        <f>'[1]2025年已发货'!C:C</f>
        <v>HRB400EΦ10</v>
      </c>
      <c r="D9089" s="2" t="str">
        <f>'[1]2025年已发货'!D:D</f>
        <v>吨</v>
      </c>
      <c r="E9089" s="2">
        <f>'[1]2025年已发货'!E:E</f>
        <v>20</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HRB400EФ12*9m</v>
      </c>
      <c r="D9090" s="2" t="str">
        <f>'[1]2025年已发货'!D:D</f>
        <v>吨</v>
      </c>
      <c r="E9090" s="2">
        <f>'[1]2025年已发货'!E:E</f>
        <v>18</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HRB400EФ16*9m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德胜</v>
      </c>
      <c r="B9092" s="2" t="str">
        <f>'[1]2025年已发货'!B:B</f>
        <v>螺纹钢</v>
      </c>
      <c r="C9092" s="2" t="str">
        <f>'[1]2025年已发货'!C:C</f>
        <v>HRB400EФ18*9m</v>
      </c>
      <c r="D9092" s="2" t="str">
        <f>'[1]2025年已发货'!D:D</f>
        <v>吨</v>
      </c>
      <c r="E9092" s="2">
        <f>'[1]2025年已发货'!E:E</f>
        <v>9</v>
      </c>
      <c r="F9092" s="4">
        <f>'[1]2025年已发货'!F:F</f>
        <v>45959</v>
      </c>
      <c r="G9092" s="2" t="str">
        <f>'[1]2025年已发货'!G:G</f>
        <v>（中核中原-温江光明苑三期项目）四川省成都市温江区金马街道光明苑三期项目</v>
      </c>
      <c r="H9092" s="2" t="str">
        <f>'[1]2025年已发货'!H:H</f>
        <v>王生斌</v>
      </c>
      <c r="I9092" s="2">
        <f>'[1]2025年已发货'!I:I</f>
        <v>15228858118</v>
      </c>
      <c r="J9092" s="2" vm="1" t="e">
        <f>_xlfn._xlws.FILTER(辅助信息!D:D,辅助信息!G:G=G9092)</f>
        <v>#VALUE!</v>
      </c>
    </row>
    <row r="9093" spans="1:10">
      <c r="A9093" s="2" t="str">
        <f>'[1]2025年已发货'!A:A</f>
        <v>润耀</v>
      </c>
      <c r="B9093" s="2" t="str">
        <f>'[1]2025年已发货'!B:B</f>
        <v>盘螺</v>
      </c>
      <c r="C9093" s="2" t="str">
        <f>'[1]2025年已发货'!C:C</f>
        <v>HRB400E Φ12</v>
      </c>
      <c r="D9093" s="2" t="str">
        <f>'[1]2025年已发货'!D:D</f>
        <v>吨</v>
      </c>
      <c r="E9093" s="2">
        <f>'[1]2025年已发货'!E:E</f>
        <v>35</v>
      </c>
      <c r="F9093" s="4">
        <f>'[1]2025年已发货'!F:F</f>
        <v>45959</v>
      </c>
      <c r="G9093" s="2" t="str">
        <f>'[1]2025年已发货'!G:G</f>
        <v>（华西简阳西城嘉苑）四川省成都市简阳市简城街道高屋村</v>
      </c>
      <c r="H9093" s="2" t="str">
        <f>'[1]2025年已发货'!H:H</f>
        <v>张瀚镭</v>
      </c>
      <c r="I9093" s="2">
        <f>'[1]2025年已发货'!I:I</f>
        <v>15884666220</v>
      </c>
      <c r="J9093" s="2" t="str">
        <f>_xlfn._xlws.FILTER(辅助信息!D:D,辅助信息!G:G=G9093)</f>
        <v>华西简阳西城嘉苑</v>
      </c>
    </row>
    <row r="9094" spans="1:10">
      <c r="A9094" s="2" t="str">
        <f>'[1]2025年已发货'!A:A</f>
        <v>润耀</v>
      </c>
      <c r="B9094" s="2" t="str">
        <f>'[1]2025年已发货'!B:B</f>
        <v>螺纹钢</v>
      </c>
      <c r="C9094" s="2" t="str">
        <f>'[1]2025年已发货'!C:C</f>
        <v>HRB400EФ14，12m</v>
      </c>
      <c r="D9094" s="2" t="str">
        <f>'[1]2025年已发货'!D:D</f>
        <v>吨</v>
      </c>
      <c r="E9094" s="2">
        <f>'[1]2025年已发货'!E:E</f>
        <v>35</v>
      </c>
      <c r="F9094" s="4">
        <f>'[1]2025年已发货'!F:F</f>
        <v>45959</v>
      </c>
      <c r="G9094" s="2" t="str">
        <f>'[1]2025年已发货'!G:G</f>
        <v>（中铁十局-资乐高速4标）四川省眉山市仁寿县彰加镇促进村中铁十局资乐高速1#钢筋场</v>
      </c>
      <c r="H9094" s="2" t="str">
        <f>'[1]2025年已发货'!H:H</f>
        <v>杨飞</v>
      </c>
      <c r="I9094" s="2">
        <f>'[1]2025年已发货'!I:I</f>
        <v>15667998777</v>
      </c>
      <c r="J9094" s="2" vm="1" t="e">
        <f>_xlfn._xlws.FILTER(辅助信息!D:D,辅助信息!G:G=G9094)</f>
        <v>#VALUE!</v>
      </c>
    </row>
    <row r="9095" spans="1:10">
      <c r="A9095" s="2" t="str">
        <f>'[1]2025年已发货'!A:A</f>
        <v>泸钢</v>
      </c>
      <c r="B9095" s="2" t="str">
        <f>'[1]2025年已发货'!B:B</f>
        <v>盘螺</v>
      </c>
      <c r="C9095" s="2" t="str">
        <f>'[1]2025年已发货'!C:C</f>
        <v>HRB400E Φ12</v>
      </c>
      <c r="D9095" s="2" t="str">
        <f>'[1]2025年已发货'!D:D</f>
        <v>吨</v>
      </c>
      <c r="E9095" s="2">
        <f>'[1]2025年已发货'!E:E</f>
        <v>4</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Φ14 9m</v>
      </c>
      <c r="D9096" s="2" t="str">
        <f>'[1]2025年已发货'!D:D</f>
        <v>吨</v>
      </c>
      <c r="E9096" s="2">
        <f>'[1]2025年已发货'!E:E</f>
        <v>10</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Φ16 9m</v>
      </c>
      <c r="D9097" s="2" t="str">
        <f>'[1]2025年已发货'!D:D</f>
        <v>吨</v>
      </c>
      <c r="E9097" s="2">
        <f>'[1]2025年已发货'!E:E</f>
        <v>2.5</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Φ20 9m</v>
      </c>
      <c r="D9098" s="2" t="str">
        <f>'[1]2025年已发货'!D:D</f>
        <v>吨</v>
      </c>
      <c r="E9098" s="2">
        <f>'[1]2025年已发货'!E:E</f>
        <v>10</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Φ22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Φ25 9m</v>
      </c>
      <c r="D9100" s="2" t="str">
        <f>'[1]2025年已发货'!D:D</f>
        <v>吨</v>
      </c>
      <c r="E9100" s="2">
        <f>'[1]2025年已发货'!E:E</f>
        <v>5</v>
      </c>
      <c r="F9100" s="4">
        <f>'[1]2025年已发货'!F:F</f>
        <v>45959</v>
      </c>
      <c r="G9100" s="2" t="str">
        <f>'[1]2025年已发货'!G:G</f>
        <v>(五冶建设成都盐道街中学初中部改扩建工程-一标)四川省成都市锦江区春熙路街道盐道街4号（盐道街中学初中部）</v>
      </c>
      <c r="H9100" s="2" t="str">
        <f>'[1]2025年已发货'!H:H</f>
        <v>谢鑫</v>
      </c>
      <c r="I9100" s="2">
        <f>'[1]2025年已发货'!I:I</f>
        <v>18228465067</v>
      </c>
      <c r="J9100" s="2" t="str">
        <f>_xlfn._xlws.FILTER(辅助信息!D:D,辅助信息!G:G=G9100)</f>
        <v>五冶建设成都盐道街中学初中部改扩建工程</v>
      </c>
    </row>
    <row r="9101" spans="1:10">
      <c r="A9101" s="2" t="str">
        <f>'[1]2025年已发货'!A:A</f>
        <v>泸钢</v>
      </c>
      <c r="B9101" s="2" t="str">
        <f>'[1]2025年已发货'!B:B</f>
        <v>螺纹钢</v>
      </c>
      <c r="C9101" s="2" t="str">
        <f>'[1]2025年已发货'!C:C</f>
        <v>HRB400E Φ12 9m</v>
      </c>
      <c r="D9101" s="2" t="str">
        <f>'[1]2025年已发货'!D:D</f>
        <v>吨</v>
      </c>
      <c r="E9101" s="2">
        <f>'[1]2025年已发货'!E:E</f>
        <v>35</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Φ12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Φ14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Φ16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Φ18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Φ20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Φ22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螺纹钢</v>
      </c>
      <c r="C9108" s="2" t="str">
        <f>'[1]2025年已发货'!C:C</f>
        <v>HRB400E Φ25 9m</v>
      </c>
      <c r="D9108" s="2" t="str">
        <f>'[1]2025年已发货'!D:D</f>
        <v>吨</v>
      </c>
      <c r="E9108" s="2">
        <f>'[1]2025年已发货'!E:E</f>
        <v>10</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Φ6</v>
      </c>
      <c r="D9109" s="2" t="str">
        <f>'[1]2025年已发货'!D:D</f>
        <v>吨</v>
      </c>
      <c r="E9109" s="2">
        <f>'[1]2025年已发货'!E:E</f>
        <v>6</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30</v>
      </c>
      <c r="F9110" s="4">
        <f>'[1]2025年已发货'!F:F</f>
        <v>45959</v>
      </c>
      <c r="G9110" s="2" t="str">
        <f>'[1]2025年已发货'!G:G</f>
        <v>(五冶钢构龙泉东洪片区70亩住宅、商业及配套工程项目一标段)成都市龙泉驿外东洪路地铁2号线惠王陵地铁C口</v>
      </c>
      <c r="H9110" s="2" t="str">
        <f>'[1]2025年已发货'!H:H</f>
        <v>邹爱国</v>
      </c>
      <c r="I9110" s="2">
        <f>'[1]2025年已发货'!I:I</f>
        <v>13540231225</v>
      </c>
      <c r="J9110" s="2" t="str">
        <f>_xlfn._xlws.FILTER(辅助信息!D:D,辅助信息!G:G=G9110)</f>
        <v>五冶钢构龙泉东洪片区(70亩、85亩)住宅、商业及配套工程项目</v>
      </c>
    </row>
    <row r="9111" spans="1:10">
      <c r="A9111" s="2" t="str">
        <f>'[1]2025年已发货'!A:A</f>
        <v>泸钢</v>
      </c>
      <c r="B9111" s="2" t="str">
        <f>'[1]2025年已发货'!B:B</f>
        <v>盘螺</v>
      </c>
      <c r="C9111" s="2" t="str">
        <f>'[1]2025年已发货'!C:C</f>
        <v>HRB400E Φ8</v>
      </c>
      <c r="D9111" s="2" t="str">
        <f>'[1]2025年已发货'!D:D</f>
        <v>吨</v>
      </c>
      <c r="E9111" s="2">
        <f>'[1]2025年已发货'!E:E</f>
        <v>35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Φ14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Φ16 9m</v>
      </c>
      <c r="D9113" s="2" t="str">
        <f>'[1]2025年已发货'!D:D</f>
        <v>吨</v>
      </c>
      <c r="E9113" s="2">
        <f>'[1]2025年已发货'!E:E</f>
        <v>12.5</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泸钢</v>
      </c>
      <c r="B9114" s="2" t="str">
        <f>'[1]2025年已发货'!B:B</f>
        <v>螺纹钢</v>
      </c>
      <c r="C9114" s="2" t="str">
        <f>'[1]2025年已发货'!C:C</f>
        <v>HRB400E Φ18 9m</v>
      </c>
      <c r="D9114" s="2" t="str">
        <f>'[1]2025年已发货'!D:D</f>
        <v>吨</v>
      </c>
      <c r="E9114" s="2">
        <f>'[1]2025年已发货'!E:E</f>
        <v>10</v>
      </c>
      <c r="F9114" s="4">
        <f>'[1]2025年已发货'!F:F</f>
        <v>45959</v>
      </c>
      <c r="G9114" s="2" t="str">
        <f>'[1]2025年已发货'!G:G</f>
        <v>(五冶钢构龙泉东洪片区85亩住宅、商业及配套工程项目二标段)成都市龙泉驿外东洪路地铁2号线惠王陵地铁C口</v>
      </c>
      <c r="H9114" s="2" t="str">
        <f>'[1]2025年已发货'!H:H</f>
        <v>李渊</v>
      </c>
      <c r="I9114" s="2">
        <f>'[1]2025年已发货'!I:I</f>
        <v>18381013849</v>
      </c>
      <c r="J9114" s="2" t="str">
        <f>_xlfn._xlws.FILTER(辅助信息!D:D,辅助信息!G:G=G9114)</f>
        <v>五冶钢构龙泉东洪片区(70亩、85亩)住宅、商业及配套工程项目</v>
      </c>
    </row>
    <row r="9115" spans="1:10">
      <c r="A9115" s="2" t="str">
        <f>'[1]2025年已发货'!A:A</f>
        <v>德胜</v>
      </c>
      <c r="B9115" s="2" t="str">
        <f>'[1]2025年已发货'!B:B</f>
        <v>螺纹钢</v>
      </c>
      <c r="C9115" s="2" t="str">
        <f>'[1]2025年已发货'!C:C</f>
        <v>HRB500EΦ28*12m</v>
      </c>
      <c r="D9115" s="2" t="str">
        <f>'[1]2025年已发货'!D:D</f>
        <v>吨</v>
      </c>
      <c r="E9115" s="2">
        <f>'[1]2025年已发货'!E:E</f>
        <v>15</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HRB500EΦ32*12m</v>
      </c>
      <c r="D9116" s="2" t="str">
        <f>'[1]2025年已发货'!D:D</f>
        <v>吨</v>
      </c>
      <c r="E9116" s="2">
        <f>'[1]2025年已发货'!E:E</f>
        <v>20</v>
      </c>
      <c r="F9116" s="4">
        <f>'[1]2025年已发货'!F:F</f>
        <v>45959</v>
      </c>
      <c r="G9116" s="2" t="str">
        <f>'[1]2025年已发货'!G:G</f>
        <v>（成峨1标）眉山市彭山区谢家街道跳墩子</v>
      </c>
      <c r="H9116" s="2" t="str">
        <f>'[1]2025年已发货'!H:H</f>
        <v>曾毅</v>
      </c>
      <c r="I9116" s="2" t="str">
        <f>'[1]2025年已发货'!I:I</f>
        <v>13982229815</v>
      </c>
      <c r="J9116" s="2" vm="1" t="e">
        <f>_xlfn._xlws.FILTER(辅助信息!D:D,辅助信息!G:G=G9116)</f>
        <v>#VALUE!</v>
      </c>
    </row>
    <row r="9117" spans="1:10">
      <c r="A9117" s="2" t="str">
        <f>'[1]2025年已发货'!A:A</f>
        <v>德胜</v>
      </c>
      <c r="B9117" s="2" t="str">
        <f>'[1]2025年已发货'!B:B</f>
        <v>螺纹钢</v>
      </c>
      <c r="C9117" s="2" t="str">
        <f>'[1]2025年已发货'!C:C</f>
        <v>HRB400EΦ14*9m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HRB400EΦ16*9m</v>
      </c>
      <c r="D9118" s="2" t="str">
        <f>'[1]2025年已发货'!D:D</f>
        <v>吨</v>
      </c>
      <c r="E9118" s="2">
        <f>'[1]2025年已发货'!E:E</f>
        <v>17</v>
      </c>
      <c r="F9118" s="4">
        <f>'[1]2025年已发货'!F:F</f>
        <v>45959</v>
      </c>
      <c r="G9118" s="2" t="str">
        <f>'[1]2025年已发货'!G:G</f>
        <v>（成峨3标）眉山市丹棱县兴盛路（诺尔电器）成峨TJ3标</v>
      </c>
      <c r="H9118" s="2" t="str">
        <f>'[1]2025年已发货'!H:H</f>
        <v>雍朝刚</v>
      </c>
      <c r="I9118" s="2" t="str">
        <f>'[1]2025年已发货'!I:I</f>
        <v>19983344290</v>
      </c>
      <c r="J9118" s="2" vm="1" t="e">
        <f>_xlfn._xlws.FILTER(辅助信息!D:D,辅助信息!G:G=G9118)</f>
        <v>#VALUE!</v>
      </c>
    </row>
    <row r="9119" spans="1:10">
      <c r="A9119" s="2" t="str">
        <f>'[1]2025年已发货'!A:A</f>
        <v>德胜</v>
      </c>
      <c r="B9119" s="2" t="str">
        <f>'[1]2025年已发货'!B:B</f>
        <v>螺纹钢</v>
      </c>
      <c r="C9119" s="2" t="str">
        <f>'[1]2025年已发货'!C:C</f>
        <v>HRB500E Φ25</v>
      </c>
      <c r="D9119" s="2" t="str">
        <f>'[1]2025年已发货'!D:D</f>
        <v>吨</v>
      </c>
      <c r="E9119" s="2">
        <f>'[1]2025年已发货'!E:E</f>
        <v>35</v>
      </c>
      <c r="F9119" s="4">
        <f>'[1]2025年已发货'!F:F</f>
        <v>45960</v>
      </c>
      <c r="G9119" s="2" t="str">
        <f>'[1]2025年已发货'!G:G</f>
        <v>(五冶建设龙泉驿一医院配套建设工程)成都市龙泉驿区董朗路69号龙泉驿一医院5号门</v>
      </c>
      <c r="H9119" s="2" t="str">
        <f>'[1]2025年已发货'!H:H</f>
        <v>孙敏</v>
      </c>
      <c r="I9119" s="2">
        <f>'[1]2025年已发货'!I:I</f>
        <v>13617695006</v>
      </c>
      <c r="J9119" s="2" t="str">
        <f>_xlfn._xlws.FILTER(辅助信息!D:D,辅助信息!G:G=G9119)</f>
        <v>五冶建设龙泉驿一医院配套建设工程</v>
      </c>
    </row>
    <row r="9120" spans="1:10">
      <c r="A9120" s="2" t="str">
        <f>'[1]2025年已发货'!A:A</f>
        <v>德胜恒嘉</v>
      </c>
      <c r="B9120" s="2" t="str">
        <f>'[1]2025年已发货'!B:B</f>
        <v>螺纹钢</v>
      </c>
      <c r="C9120" s="2" t="str">
        <f>'[1]2025年已发货'!C:C</f>
        <v>HRB400E Φ22×12米</v>
      </c>
      <c r="D9120" s="2" t="str">
        <f>'[1]2025年已发货'!D:D</f>
        <v>吨</v>
      </c>
      <c r="E9120" s="2">
        <f>'[1]2025年已发货'!E:E</f>
        <v>35</v>
      </c>
      <c r="F9120" s="4">
        <f>'[1]2025年已发货'!F:F</f>
        <v>45960</v>
      </c>
      <c r="G9120" s="2" t="str">
        <f>'[1]2025年已发货'!G:G</f>
        <v>（自永1标八局二分公司钢筋棚）四川省自贡市大安区牛佛镇</v>
      </c>
      <c r="H9120" s="2" t="str">
        <f>'[1]2025年已发货'!H:H</f>
        <v>刘鑫</v>
      </c>
      <c r="I9120" s="2">
        <f>'[1]2025年已发货'!I:I</f>
        <v>18382259456</v>
      </c>
      <c r="J9120" s="2" vm="1" t="e">
        <f>_xlfn._xlws.FILTER(辅助信息!D:D,辅助信息!G:G=G9120)</f>
        <v>#VALUE!</v>
      </c>
    </row>
    <row r="9121" spans="1:10">
      <c r="A9121" s="2" t="str">
        <f>'[1]2025年已发货'!A:A</f>
        <v>德胜恒嘉</v>
      </c>
      <c r="B9121" s="2" t="str">
        <f>'[1]2025年已发货'!B:B</f>
        <v>螺纹钢</v>
      </c>
      <c r="C9121" s="2" t="str">
        <f>'[1]2025年已发货'!C:C</f>
        <v>HRB400E Φ12×12米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Φ32×12米</v>
      </c>
      <c r="D9122" s="2" t="str">
        <f>'[1]2025年已发货'!D:D</f>
        <v>吨</v>
      </c>
      <c r="E9122" s="2">
        <f>'[1]2025年已发货'!E:E</f>
        <v>70</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Φ28×12米</v>
      </c>
      <c r="D9123" s="2" t="str">
        <f>'[1]2025年已发货'!D:D</f>
        <v>吨</v>
      </c>
      <c r="E9123" s="2">
        <f>'[1]2025年已发货'!E:E</f>
        <v>65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德胜恒嘉</v>
      </c>
      <c r="B9124" s="2" t="str">
        <f>'[1]2025年已发货'!B:B</f>
        <v>螺纹钢</v>
      </c>
      <c r="C9124" s="2" t="str">
        <f>'[1]2025年已发货'!C:C</f>
        <v>HRB400E Φ18×12米</v>
      </c>
      <c r="D9124" s="2" t="str">
        <f>'[1]2025年已发货'!D:D</f>
        <v>吨</v>
      </c>
      <c r="E9124" s="2">
        <f>'[1]2025年已发货'!E:E</f>
        <v>5</v>
      </c>
      <c r="F9124" s="4">
        <f>'[1]2025年已发货'!F:F</f>
        <v>45960</v>
      </c>
      <c r="G9124" s="2" t="str">
        <f>'[1]2025年已发货'!G:G</f>
        <v>自永4标一局四公司（四川省内江市隆昌市兰家花房子自永4标一局四公司钢筋棚）</v>
      </c>
      <c r="H9124" s="2" t="str">
        <f>'[1]2025年已发货'!H:H</f>
        <v>郝优</v>
      </c>
      <c r="I9124" s="2">
        <f>'[1]2025年已发货'!I:I</f>
        <v>13891371707</v>
      </c>
      <c r="J9124" s="2" vm="1" t="e">
        <f>_xlfn._xlws.FILTER(辅助信息!D:D,辅助信息!G:G=G9124)</f>
        <v>#VALUE!</v>
      </c>
    </row>
    <row r="9125" spans="1:10">
      <c r="A9125" s="2" t="str">
        <f>'[1]2025年已发货'!A:A</f>
        <v>陕钢</v>
      </c>
      <c r="B9125" s="2" t="str">
        <f>'[1]2025年已发货'!B:B</f>
        <v>盘螺</v>
      </c>
      <c r="C9125" s="2" t="str">
        <f>'[1]2025年已发货'!C:C</f>
        <v>HRB400EФ10</v>
      </c>
      <c r="D9125" s="2" t="str">
        <f>'[1]2025年已发货'!D:D</f>
        <v>吨</v>
      </c>
      <c r="E9125" s="2">
        <f>'[1]2025年已发货'!E:E</f>
        <v>105</v>
      </c>
      <c r="F9125" s="4">
        <f>'[1]2025年已发货'!F:F</f>
        <v>45960</v>
      </c>
      <c r="G9125" s="2" t="str">
        <f>'[1]2025年已发货'!G:G</f>
        <v>（中铁广州局-成渝扩容2标）四川省资阳市雁江区石岭镇易家沟2号梁场</v>
      </c>
      <c r="H9125" s="2" t="str">
        <f>'[1]2025年已发货'!H:H</f>
        <v>孙鹏飞</v>
      </c>
      <c r="I9125" s="2">
        <f>'[1]2025年已发货'!I:I</f>
        <v>18011784798</v>
      </c>
      <c r="J9125" s="2" vm="1" t="e">
        <f>_xlfn._xlws.FILTER(辅助信息!D:D,辅助信息!G:G=G9125)</f>
        <v>#VALUE!</v>
      </c>
    </row>
    <row r="9126" spans="1:10">
      <c r="A9126" s="2" t="str">
        <f>'[1]2025年已发货'!A:A</f>
        <v>润耀</v>
      </c>
      <c r="B9126" s="2" t="str">
        <f>'[1]2025年已发货'!B:B</f>
        <v>盘螺</v>
      </c>
      <c r="C9126" s="2" t="str">
        <f>'[1]2025年已发货'!C:C</f>
        <v>HRB400EФ12</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润耀</v>
      </c>
      <c r="B9127" s="2" t="str">
        <f>'[1]2025年已发货'!B:B</f>
        <v>螺纹钢</v>
      </c>
      <c r="C9127" s="2" t="str">
        <f>'[1]2025年已发货'!C:C</f>
        <v>HRB400EФ25，12m</v>
      </c>
      <c r="D9127" s="2" t="str">
        <f>'[1]2025年已发货'!D:D</f>
        <v>吨</v>
      </c>
      <c r="E9127" s="2">
        <f>'[1]2025年已发货'!E:E</f>
        <v>35</v>
      </c>
      <c r="F9127" s="4">
        <f>'[1]2025年已发货'!F:F</f>
        <v>45960</v>
      </c>
      <c r="G9127" s="2" t="str">
        <f>'[1]2025年已发货'!G:G</f>
        <v>（中铁广州局-成渝扩容2标）四川省资阳市雁江区南双路杨家糖房</v>
      </c>
      <c r="H9127" s="2" t="str">
        <f>'[1]2025年已发货'!H:H</f>
        <v>石雄</v>
      </c>
      <c r="I9127" s="2">
        <f>'[1]2025年已发货'!I:I</f>
        <v>13268388125</v>
      </c>
      <c r="J9127" s="2" vm="1" t="e">
        <f>_xlfn._xlws.FILTER(辅助信息!D:D,辅助信息!G:G=G9127)</f>
        <v>#VALUE!</v>
      </c>
    </row>
    <row r="9128" spans="1:10">
      <c r="A9128" s="2" t="str">
        <f>'[1]2025年已发货'!A:A</f>
        <v>泸钢</v>
      </c>
      <c r="B9128" s="2" t="str">
        <f>'[1]2025年已发货'!B:B</f>
        <v>盘螺</v>
      </c>
      <c r="C9128" s="2" t="str">
        <f>'[1]2025年已发货'!C:C</f>
        <v>HRB400E Φ8</v>
      </c>
      <c r="D9128" s="2" t="str">
        <f>'[1]2025年已发货'!D:D</f>
        <v>吨</v>
      </c>
      <c r="E9128" s="2">
        <f>'[1]2025年已发货'!E:E</f>
        <v>16</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Φ10</v>
      </c>
      <c r="D9129" s="2" t="str">
        <f>'[1]2025年已发货'!D:D</f>
        <v>吨</v>
      </c>
      <c r="E9129" s="2">
        <f>'[1]2025年已发货'!E:E</f>
        <v>18</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盘螺</v>
      </c>
      <c r="C9130" s="2" t="str">
        <f>'[1]2025年已发货'!C:C</f>
        <v>HRB400E Φ12</v>
      </c>
      <c r="D9130" s="2" t="str">
        <f>'[1]2025年已发货'!D:D</f>
        <v>吨</v>
      </c>
      <c r="E9130" s="2">
        <f>'[1]2025年已发货'!E:E</f>
        <v>6</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Φ12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Φ14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HRB400E Φ16 9m</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Φ14</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Φ18</v>
      </c>
      <c r="D9135" s="2" t="str">
        <f>'[1]2025年已发货'!D:D</f>
        <v>吨</v>
      </c>
      <c r="E9135" s="2">
        <f>'[1]2025年已发货'!E:E</f>
        <v>3</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Φ20</v>
      </c>
      <c r="D9136" s="2" t="str">
        <f>'[1]2025年已发货'!D:D</f>
        <v>吨</v>
      </c>
      <c r="E9136" s="2">
        <f>'[1]2025年已发货'!E:E</f>
        <v>12</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螺纹钢</v>
      </c>
      <c r="C9137" s="2" t="str">
        <f>'[1]2025年已发货'!C:C</f>
        <v>HRB500E Φ22</v>
      </c>
      <c r="D9137" s="2" t="str">
        <f>'[1]2025年已发货'!D:D</f>
        <v>吨</v>
      </c>
      <c r="E9137" s="2">
        <f>'[1]2025年已发货'!E:E</f>
        <v>3</v>
      </c>
      <c r="F9137" s="4">
        <f>'[1]2025年已发货'!F:F</f>
        <v>45960</v>
      </c>
      <c r="G9137" s="2" t="str">
        <f>'[1]2025年已发货'!G:G</f>
        <v>(五冶建设龙泉驿一医院配套建设工程)成都市龙泉驿区董朗路69号龙泉驿一医院5号门</v>
      </c>
      <c r="H9137" s="2" t="str">
        <f>'[1]2025年已发货'!H:H</f>
        <v>孙敏</v>
      </c>
      <c r="I9137" s="2">
        <f>'[1]2025年已发货'!I:I</f>
        <v>13617695006</v>
      </c>
      <c r="J9137" s="2" t="str">
        <f>_xlfn._xlws.FILTER(辅助信息!D:D,辅助信息!G:G=G9137)</f>
        <v>五冶建设龙泉驿一医院配套建设工程</v>
      </c>
    </row>
    <row r="9138" spans="1:10">
      <c r="A9138" s="2" t="str">
        <f>'[1]2025年已发货'!A:A</f>
        <v>泸钢</v>
      </c>
      <c r="B9138" s="2" t="str">
        <f>'[1]2025年已发货'!B:B</f>
        <v>盘螺</v>
      </c>
      <c r="C9138" s="2" t="str">
        <f>'[1]2025年已发货'!C:C</f>
        <v>HRB400E Φ8</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盘螺</v>
      </c>
      <c r="C9139" s="2" t="str">
        <f>'[1]2025年已发货'!C:C</f>
        <v>HRB400E Φ10</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Φ18</v>
      </c>
      <c r="D9140" s="2" t="str">
        <f>'[1]2025年已发货'!D:D</f>
        <v>吨</v>
      </c>
      <c r="E9140" s="2">
        <f>'[1]2025年已发货'!E:E</f>
        <v>5</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螺纹钢</v>
      </c>
      <c r="C9141" s="2" t="str">
        <f>'[1]2025年已发货'!C:C</f>
        <v>HRB500E Φ25</v>
      </c>
      <c r="D9141" s="2" t="str">
        <f>'[1]2025年已发货'!D:D</f>
        <v>吨</v>
      </c>
      <c r="E9141" s="2">
        <f>'[1]2025年已发货'!E:E</f>
        <v>20</v>
      </c>
      <c r="F9141" s="4">
        <f>'[1]2025年已发货'!F:F</f>
        <v>45960</v>
      </c>
      <c r="G9141" s="2" t="str">
        <f>'[1]2025年已发货'!G:G</f>
        <v>(五冶建设师大附中外语校新建教学楼工程)四川省成都市成华区大观堰2号(四川师范大学附属中学外国语学校)</v>
      </c>
      <c r="H9141" s="2" t="str">
        <f>'[1]2025年已发货'!H:H</f>
        <v>蔡浩</v>
      </c>
      <c r="I9141" s="2">
        <f>'[1]2025年已发货'!I:I</f>
        <v>13980880820</v>
      </c>
      <c r="J9141" s="2" t="str">
        <f>_xlfn._xlws.FILTER(辅助信息!D:D,辅助信息!G:G=G9141)</f>
        <v>五冶建设师大附中外语校新建教学楼工程</v>
      </c>
    </row>
    <row r="9142" spans="1:10">
      <c r="A9142" s="2" t="str">
        <f>'[1]2025年已发货'!A:A</f>
        <v>泸钢</v>
      </c>
      <c r="B9142" s="2" t="str">
        <f>'[1]2025年已发货'!B:B</f>
        <v>盘螺</v>
      </c>
      <c r="C9142" s="2" t="str">
        <f>'[1]2025年已发货'!C:C</f>
        <v>HRB400E Φ10</v>
      </c>
      <c r="D9142" s="2" t="str">
        <f>'[1]2025年已发货'!D:D</f>
        <v>吨</v>
      </c>
      <c r="E9142" s="2">
        <f>'[1]2025年已发货'!E:E</f>
        <v>15</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Φ14 9m</v>
      </c>
      <c r="D9143" s="2" t="str">
        <f>'[1]2025年已发货'!D:D</f>
        <v>吨</v>
      </c>
      <c r="E9143" s="2">
        <f>'[1]2025年已发货'!E:E</f>
        <v>10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Φ16 9m</v>
      </c>
      <c r="D9144" s="2" t="str">
        <f>'[1]2025年已发货'!D:D</f>
        <v>吨</v>
      </c>
      <c r="E9144" s="2">
        <f>'[1]2025年已发货'!E:E</f>
        <v>60</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Φ20 9m</v>
      </c>
      <c r="D9145" s="2" t="str">
        <f>'[1]2025年已发货'!D:D</f>
        <v>吨</v>
      </c>
      <c r="E9145" s="2">
        <f>'[1]2025年已发货'!E:E</f>
        <v>6</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HRB400E Φ25 9m</v>
      </c>
      <c r="D9146" s="2" t="str">
        <f>'[1]2025年已发货'!D:D</f>
        <v>吨</v>
      </c>
      <c r="E9146" s="2">
        <f>'[1]2025年已发货'!E:E</f>
        <v>10</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Φ12</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Φ16</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Φ20</v>
      </c>
      <c r="D9149" s="2" t="str">
        <f>'[1]2025年已发货'!D:D</f>
        <v>吨</v>
      </c>
      <c r="E9149" s="2">
        <f>'[1]2025年已发货'!E:E</f>
        <v>3</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Φ22</v>
      </c>
      <c r="D9150" s="2" t="str">
        <f>'[1]2025年已发货'!D:D</f>
        <v>吨</v>
      </c>
      <c r="E9150" s="2">
        <f>'[1]2025年已发货'!E:E</f>
        <v>6</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v>
      </c>
      <c r="B9151" s="2" t="str">
        <f>'[1]2025年已发货'!B:B</f>
        <v>螺纹钢</v>
      </c>
      <c r="C9151" s="2" t="str">
        <f>'[1]2025年已发货'!C:C</f>
        <v>HRB500E Φ25</v>
      </c>
      <c r="D9151" s="2" t="str">
        <f>'[1]2025年已发货'!D:D</f>
        <v>吨</v>
      </c>
      <c r="E9151" s="2">
        <f>'[1]2025年已发货'!E:E</f>
        <v>25</v>
      </c>
      <c r="F9151" s="4">
        <f>'[1]2025年已发货'!F:F</f>
        <v>45960</v>
      </c>
      <c r="G9151" s="2" t="str">
        <f>'[1]2025年已发货'!G:G</f>
        <v>(五冶钢构龙泉东洪片区70亩住宅、商业及配套工程项目三标段)成都市龙泉驿外东洪路地铁2号线惠王陵地铁C口</v>
      </c>
      <c r="H9151" s="2" t="str">
        <f>'[1]2025年已发货'!H:H</f>
        <v>蒋嗣伟</v>
      </c>
      <c r="I9151" s="2">
        <f>'[1]2025年已发货'!I:I</f>
        <v>15014331252</v>
      </c>
      <c r="J9151" s="2" t="str">
        <f>_xlfn._xlws.FILTER(辅助信息!D:D,辅助信息!G:G=G9151)</f>
        <v>五冶钢构龙泉东洪片区(70亩、85亩)住宅、商业及配套工程项目</v>
      </c>
    </row>
    <row r="9152" spans="1:10">
      <c r="A9152" s="2" t="str">
        <f>'[1]2025年已发货'!A:A</f>
        <v>泸钢（代）</v>
      </c>
      <c r="B9152" s="2" t="str">
        <f>'[1]2025年已发货'!B:B</f>
        <v>盘圆</v>
      </c>
      <c r="C9152" s="2" t="str">
        <f>'[1]2025年已发货'!C:C</f>
        <v>HPB300Ф6</v>
      </c>
      <c r="D9152" s="2" t="str">
        <f>'[1]2025年已发货'!D:D</f>
        <v>吨</v>
      </c>
      <c r="E9152" s="2">
        <f>'[1]2025年已发货'!E:E</f>
        <v>2</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HPB300Ф8</v>
      </c>
      <c r="D9153" s="2" t="str">
        <f>'[1]2025年已发货'!D:D</f>
        <v>吨</v>
      </c>
      <c r="E9153" s="2">
        <f>'[1]2025年已发货'!E:E</f>
        <v>7</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盘圆</v>
      </c>
      <c r="C9154" s="2" t="str">
        <f>'[1]2025年已发货'!C:C</f>
        <v>HPB300Ф10</v>
      </c>
      <c r="D9154" s="2" t="str">
        <f>'[1]2025年已发货'!D:D</f>
        <v>吨</v>
      </c>
      <c r="E9154" s="2">
        <f>'[1]2025年已发货'!E:E</f>
        <v>6</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盘螺</v>
      </c>
      <c r="C9155" s="2" t="str">
        <f>'[1]2025年已发货'!C:C</f>
        <v>HRB400EΦ10</v>
      </c>
      <c r="D9155" s="2" t="str">
        <f>'[1]2025年已发货'!D:D</f>
        <v>吨</v>
      </c>
      <c r="E9155" s="2">
        <f>'[1]2025年已发货'!E:E</f>
        <v>4</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HRB400EФ12*9m</v>
      </c>
      <c r="D9156" s="2" t="str">
        <f>'[1]2025年已发货'!D:D</f>
        <v>吨</v>
      </c>
      <c r="E9156" s="2">
        <f>'[1]2025年已发货'!E:E</f>
        <v>8</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泸钢（代）</v>
      </c>
      <c r="B9157" s="2" t="str">
        <f>'[1]2025年已发货'!B:B</f>
        <v>螺纹钢</v>
      </c>
      <c r="C9157" s="2" t="str">
        <f>'[1]2025年已发货'!C:C</f>
        <v>HRB400EФ16*9m</v>
      </c>
      <c r="D9157" s="2" t="str">
        <f>'[1]2025年已发货'!D:D</f>
        <v>吨</v>
      </c>
      <c r="E9157" s="2">
        <f>'[1]2025年已发货'!E:E</f>
        <v>16</v>
      </c>
      <c r="F9157" s="4">
        <f>'[1]2025年已发货'!F:F</f>
        <v>45960</v>
      </c>
      <c r="G9157" s="2" t="str">
        <f>'[1]2025年已发货'!G:G</f>
        <v>（成铁西物-沪昆线龙里改造工程）贵州黔南龙里接触网维修工区施工现场</v>
      </c>
      <c r="H9157" s="2" t="str">
        <f>'[1]2025年已发货'!H:H</f>
        <v>黄永福</v>
      </c>
      <c r="I9157" s="2" t="str">
        <f>'[1]2025年已发货'!I:I</f>
        <v>15982823571</v>
      </c>
      <c r="J9157" s="2" vm="1" t="e">
        <f>_xlfn._xlws.FILTER(辅助信息!D:D,辅助信息!G:G=G9157)</f>
        <v>#VALUE!</v>
      </c>
    </row>
    <row r="9158" spans="1:10">
      <c r="A9158" s="2" t="str">
        <f>'[1]2025年已发货'!A:A</f>
        <v>泸钢</v>
      </c>
      <c r="B9158" s="2" t="str">
        <f>'[1]2025年已发货'!B:B</f>
        <v>盘圆</v>
      </c>
      <c r="C9158" s="2" t="str">
        <f>'[1]2025年已发货'!C:C</f>
        <v>HPB300Φ6mm</v>
      </c>
      <c r="D9158" s="2" t="str">
        <f>'[1]2025年已发货'!D:D</f>
        <v>吨</v>
      </c>
      <c r="E9158" s="2">
        <f>'[1]2025年已发货'!E:E</f>
        <v>10</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HPB300Φ10mm</v>
      </c>
      <c r="D9159" s="2" t="str">
        <f>'[1]2025年已发货'!D:D</f>
        <v>吨</v>
      </c>
      <c r="E9159" s="2">
        <f>'[1]2025年已发货'!E:E</f>
        <v>35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泸钢</v>
      </c>
      <c r="B9160" s="2" t="str">
        <f>'[1]2025年已发货'!B:B</f>
        <v>盘圆</v>
      </c>
      <c r="C9160" s="2" t="str">
        <f>'[1]2025年已发货'!C:C</f>
        <v>HPB300Φ12mm</v>
      </c>
      <c r="D9160" s="2" t="str">
        <f>'[1]2025年已发货'!D:D</f>
        <v>吨</v>
      </c>
      <c r="E9160" s="2">
        <f>'[1]2025年已发货'!E:E</f>
        <v>25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德胜</v>
      </c>
      <c r="B9161" s="2" t="str">
        <f>'[1]2025年已发货'!B:B</f>
        <v>螺纹钢</v>
      </c>
      <c r="C9161" s="2" t="str">
        <f>'[1]2025年已发货'!C:C</f>
        <v>HRB400EΦ12*9m</v>
      </c>
      <c r="D9161" s="2" t="str">
        <f>'[1]2025年已发货'!D:D</f>
        <v>吨</v>
      </c>
      <c r="E9161" s="2">
        <f>'[1]2025年已发货'!E:E</f>
        <v>35</v>
      </c>
      <c r="F9161" s="4">
        <f>'[1]2025年已发货'!F:F</f>
        <v>45960</v>
      </c>
      <c r="G9161" s="2" t="str">
        <f>'[1]2025年已发货'!G:G</f>
        <v>（成峨3标）眉山市丹棱县兴盛路（诺尔电器）成峨TJ3标</v>
      </c>
      <c r="H9161" s="2" t="str">
        <f>'[1]2025年已发货'!H:H</f>
        <v>雍朝刚</v>
      </c>
      <c r="I9161" s="2" t="str">
        <f>'[1]2025年已发货'!I:I</f>
        <v>19983344290</v>
      </c>
      <c r="J9161" s="2" vm="1" t="e">
        <f>_xlfn._xlws.FILTER(辅助信息!D:D,辅助信息!G:G=G9161)</f>
        <v>#VALUE!</v>
      </c>
    </row>
    <row r="9162" spans="1:10">
      <c r="A9162" s="2" t="str">
        <f>'[1]2025年已发货'!A:A</f>
        <v>润耀</v>
      </c>
      <c r="B9162" s="2" t="str">
        <f>'[1]2025年已发货'!B:B</f>
        <v>盘螺</v>
      </c>
      <c r="C9162" s="2" t="str">
        <f>'[1]2025年已发货'!C:C</f>
        <v>HRB400EФ12</v>
      </c>
      <c r="D9162" s="2" t="str">
        <f>'[1]2025年已发货'!D:D</f>
        <v>吨</v>
      </c>
      <c r="E9162" s="2">
        <f>'[1]2025年已发货'!E:E</f>
        <v>35</v>
      </c>
      <c r="F9162" s="4">
        <f>'[1]2025年已发货'!F:F</f>
        <v>45960</v>
      </c>
      <c r="G9162" s="2" t="str">
        <f>'[1]2025年已发货'!G:G</f>
        <v>（中铁三局成渝扩容ZCB3-1项目部）内江市胜利收费站红绿灯500米</v>
      </c>
      <c r="H9162" s="2" t="str">
        <f>'[1]2025年已发货'!H:H</f>
        <v>王岩</v>
      </c>
      <c r="I9162" s="2">
        <f>'[1]2025年已发货'!I:I</f>
        <v>17634813323</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2025-10-30T10:21:32Z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