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汇总计划!$A$1:$Q$5445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<sst xmlns="http://schemas.openxmlformats.org/spreadsheetml/2006/main" count="12389" uniqueCount="582">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</sst>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0.0_ "/>
    <numFmt numFmtId="178" formatCode="[$-F800]dddd\,\ mmmm\ dd\,\ yyyy"/>
    <numFmt numFmtId="179" formatCode="yyyy/m/d;@"/>
    <numFmt numFmtId="180" formatCode="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7"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62"/>
  <sheetViews>
    <sheetView tabSelected="1" workbookViewId="0">
      <pane ySplit="1" topLeftCell="A5429" activePane="bottomLeft" state="frozen"/>
      <selection/>
      <selection pane="bottomLeft" activeCell="F5451" sqref="F5451"/>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267</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267</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267</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267</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267</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267</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267</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267</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267</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267</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267</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267</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267</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267</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268</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268</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268</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268</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267</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267</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267</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267</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267</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267</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268</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268</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268</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268</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269</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268</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268</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268</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267</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267</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267</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266</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266</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266</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266</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265</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265</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265</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265</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265</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265</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265</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265</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265</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265</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265</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266</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266</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266</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266</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266</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266</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266</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266</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266</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266</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266</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266</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266</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266</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266</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267</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267</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267</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266</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266</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266</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266</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265</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265</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265</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265</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265</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265</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265</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265</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265</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266</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266</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266</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266</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265</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265</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265</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261</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261</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261</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261</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264</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264</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259</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259</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259</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259</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267</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267</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267</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266</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266</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265</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265</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265</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265</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265</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266</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266</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266</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266</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265</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265</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265</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261</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264</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264</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259</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259</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259</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259</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264</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264</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264</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264</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267</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267</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267</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265</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265</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265</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265</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265</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266</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266</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266</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266</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265</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265</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265</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261</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264</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264</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259</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259</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259</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259</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264</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264</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264</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264</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264</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264</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264</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264</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264</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264</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264</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264</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263</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263</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263</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263</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262</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262</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262</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262</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262</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262</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262</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262</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262</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262</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262</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262</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262</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262</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262</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267</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267</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267</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267</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265</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265</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265</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265</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266</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265</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265</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261</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264</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264</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259</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259</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259</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259</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264</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264</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264</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264</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262</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262</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262</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262</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262</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262</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262</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262</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262</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262</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262</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262</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262</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262</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262</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262</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262</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262</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265</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265</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265</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265</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266</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265</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265</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261</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264</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264</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259</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259</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259</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259</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264</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264</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264</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262</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262</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262</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262</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262</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261</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261</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261</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261</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261</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261</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262</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262</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262</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262</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262</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262</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262</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262</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262</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262</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262</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262</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262</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260</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266</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265</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265</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265</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265</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261</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264</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264</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259</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259</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259</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259</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264</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264</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264</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262</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262</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262</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262</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261</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261</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261</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261</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261</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261</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262</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262</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260</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259</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266</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260</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260</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265</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265</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265</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265</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259</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259</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259</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259</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261</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261</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261</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261</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261</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261</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262</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262</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259</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266</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265</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265</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265</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265</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259</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259</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259</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259</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261</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261</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261</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261</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261</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261</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262</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262</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258</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258</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258</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258</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258</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258</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252</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252</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252</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252</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252</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256</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256</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254</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254</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254</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254</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254</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258</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258</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258</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258</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256</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256</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254</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254</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254</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256</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256</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256</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256</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256</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256</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261</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261</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261</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261</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261</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254</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254</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254</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254</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254</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254</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254</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254</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254</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254</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254</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254</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254</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254</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254</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253</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253</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253</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253</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253</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254</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254</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254</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254</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254</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254</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254</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254</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254</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254</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254</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254</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254</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254</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254</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254</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254</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254</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254</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254</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254</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254</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253</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253</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253</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253</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253</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254</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254</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254</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254</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254</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254</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254</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254</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254</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253</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253</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253</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253</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253</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254</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254</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254</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254</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254</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254</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253</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252</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252</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252</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252</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252</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252</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250</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250</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252</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252</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252</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251</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251</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246</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246</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252</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252</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251</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251</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251</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251</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251</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251</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251</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253</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253</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253</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254</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254</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250</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252</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252</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248</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248</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248</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248</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248</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247</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247</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248</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248</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248</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248</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248</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248</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248</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254</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254</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250</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252</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252</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248</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248</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248</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248</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248</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248</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248</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248</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246</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246</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246</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246</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247</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247</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247</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247</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247</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247</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254</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254</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250</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244</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244</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248</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248</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248</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248</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248</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248</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248</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248</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246</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246</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246</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246</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244</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242</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242</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244</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244</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244</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244</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243</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243</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243</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243</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243</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243</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243</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243</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243</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243</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243</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243</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243</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243</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242</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242</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242</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242</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239</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239</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239</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242</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242</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242</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242</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242</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242</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242</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242</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242</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242</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242</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242</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242</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242</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242</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242</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242</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242</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242</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242</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244</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244</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244</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244</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244</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244</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244</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242</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242</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243</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243</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243</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243</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243</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242</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242</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242</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242</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242</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242</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244</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244</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244</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239</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239</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239</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239</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242</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242</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242</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242</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242</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242</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244</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244</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244</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239</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239</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239</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239</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237</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237</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237</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237</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232</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232</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232</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232</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237</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237</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237</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237</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237</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237</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237</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237</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237</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237</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237</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237</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237</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237</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237</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237</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237</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237</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237</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236</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239</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237</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237</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234</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232</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232</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232</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232</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232</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232</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232</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232</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232</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232</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232</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232</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232</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232</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232</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232</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232</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229</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229</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229</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232</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232</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232</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232</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232</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218</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218</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218</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218</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224</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224</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223</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223</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223</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223</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223</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223</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223</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220</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220</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220</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220</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220</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220</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220</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220</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220</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221</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221</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221</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221</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220</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220</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223</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223</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223</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223</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223</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223</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223</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223</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223</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223</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223</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223</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223</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202</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202</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202</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202</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202</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202</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202</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201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201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201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201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201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201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201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201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201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201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201</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201</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201</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201</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201</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201</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202</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201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201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201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201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201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201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198</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198</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198</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198</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198</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201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201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201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201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201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201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201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201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201</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201</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201</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201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201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201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201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201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201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201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201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201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198</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198</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198</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198</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201</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201</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202</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198</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198</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198</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198</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198</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201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201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201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201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198</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198</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198</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197</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201</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201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191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191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191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191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191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191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191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191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191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197</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197</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197</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197</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197</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197</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197</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197</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197</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197</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197</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197</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197</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197</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197</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197</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197</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197</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197</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197</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195</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195</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195</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201</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201</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195</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195</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195</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191</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191</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191</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191</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191</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191</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195</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193</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193</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193</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193</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193</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193</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193</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193</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193</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193</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193</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193</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193</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193</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193</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193</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193</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193</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193</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193</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193</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193</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193</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191</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191</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191</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191</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191</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192</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192</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192</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192</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192</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192</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192</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192</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190</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190</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190</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191</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191</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191</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191</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191</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191</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195</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193</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193</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193</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193</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193</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193</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192</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192</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192</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192</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190</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190</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190</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188</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188</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188</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188</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188</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188</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188</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188</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188</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188</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188</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190</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190</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191</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191</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193</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193</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193</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193</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190</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190</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190</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190</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190</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190</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188</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188</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188</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188</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188</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188</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188</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188</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188</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188</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190</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190</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186</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186</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186</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186</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186</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186</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186</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186</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186</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186</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186</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186</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186</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186</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186</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186</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186</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186</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186</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186</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186</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186</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186</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186</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183</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183</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183</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183</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183</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183</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183</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183</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183</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183</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183</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183</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183</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183</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186</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183</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183</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183</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183</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183</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183</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183</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183</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183</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183</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183</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183</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183</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183</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183</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183</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183</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183</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183</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183</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183</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183</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183</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183</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183</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183</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183</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183</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183</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182</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182</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183</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183</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183</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183</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183</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183</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183</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183</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182</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182</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182</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182</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182</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182</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182</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183</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182</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182</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183</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183</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183</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183</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183</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182</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182</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183</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182</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182</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183</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183</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183</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183</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183</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182</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182</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173</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173</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173</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173</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173</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173</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173</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173</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173</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173</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173</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173</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173</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173</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173</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173</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173</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173</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170</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170</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170</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170</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170</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170</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170</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170</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170</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170</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170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170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170</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170</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170</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170</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170</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170</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171</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171</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171</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171</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171</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171</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171</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171</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171</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171</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171</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171</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171</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171</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171</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171</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171</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171</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171</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171</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167</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167</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167</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167</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167</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171</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163</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166</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166</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166</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163</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163</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163</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163</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163</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163</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163</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163</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163</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159</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159</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159</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159</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159</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159</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159</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159</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159</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159</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159</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158</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158</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158</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158</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158</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158</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157</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157</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157</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157</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157</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157</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157</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157</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157</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157</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157</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157</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157</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157</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157</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150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150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150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150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150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150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151</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151</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151</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151</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151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151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151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151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151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151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151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151</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151</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151</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151</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151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151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151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151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151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151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151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148</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148</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148</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148</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148</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148</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148</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148</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148</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148</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148</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148</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148</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148</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148</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148</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148</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148</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148</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148</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151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151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151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151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151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151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151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151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148</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148</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148</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148</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148</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148</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151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151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148</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148</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151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151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142</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142</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142</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142</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142</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142</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142</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142</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141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141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141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141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141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141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141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141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141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141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141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141</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141</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141</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141</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141</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141</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141</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139</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139</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139</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139</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139</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139</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139</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139</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139</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139</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140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140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140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140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139</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139</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139</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139</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139</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139</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139</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139</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139</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139</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139</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139</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139</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139</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139</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139</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139</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139</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139</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139</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139</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139</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139</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135</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135</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135</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135</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135</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135</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135</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135</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135</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135</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125</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125</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125</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125</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125</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125</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125</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125</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125</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125</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125</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125</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125</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125</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125</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125</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125</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123</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123</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121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121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121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121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121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121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121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121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123</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115</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115</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115</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115</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115</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115</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115</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115</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115</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115</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115</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115</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110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110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110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110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110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110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110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110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110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110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110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110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110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110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110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110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110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110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110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110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110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110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110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110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110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110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110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110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110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110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110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110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110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110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110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110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110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110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110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110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110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110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110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110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110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110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110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110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110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110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110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110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110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110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110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110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110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101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101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101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101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101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101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101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101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101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101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102</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102</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102</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102</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102</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102</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102</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102</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102</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102</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102</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100</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100</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100</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100</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100</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100</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100</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100</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100</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100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100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100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100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100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100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100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100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100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100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100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100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100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100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100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100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100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100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100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95</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95</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95</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95</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95</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95</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95</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95</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95</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91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91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91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91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91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91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91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91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91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91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91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91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91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91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91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91</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91</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91</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91</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91</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91</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91</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91</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91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91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91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91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91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91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91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91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91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91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91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91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91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100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100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100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100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100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100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100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100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100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100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100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100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100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100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100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100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100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100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73</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73</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73</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73</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73</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73</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73</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73</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73</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73</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70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67</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67</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67</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67</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67</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67</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67</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67</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67</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67</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68</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68</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68</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68</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68</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68</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68</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66</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66</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66</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66</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66</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66</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66</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66</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66</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66</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68</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68</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68</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66</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66</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66</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66</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66</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66</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66</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66</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66</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66</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66</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66</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66</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66</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66</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66</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60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60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60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60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60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60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60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60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60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60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60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60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60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60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60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60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60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60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60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60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60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60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60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60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60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60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60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60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60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60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60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60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60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60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60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51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51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51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51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51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51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49</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49</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49</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49</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49</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49</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50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50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50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50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50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50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50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50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50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50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50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50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50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50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50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50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50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50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50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50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50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50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50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50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51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49</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49</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49</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49</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50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50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49</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49</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45</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45</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45</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45</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45</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41</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41</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41</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41</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41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41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41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41</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41</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41</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41</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41</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41</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41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41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41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41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41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41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41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41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41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41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41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41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41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41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41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41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41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41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41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41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41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41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41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41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41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41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41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41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41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41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41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41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41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41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41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41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41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41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41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41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41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41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41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41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41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41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41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41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41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41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41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41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41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41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41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41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41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41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41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41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41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41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41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41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41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41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41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41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41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41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41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41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41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41</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41</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41</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41</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41</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41</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41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41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41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41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41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41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41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41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41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41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41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41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41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41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41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41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41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41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41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41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41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41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41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41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41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41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41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41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41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41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41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41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41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41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41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41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41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41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41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41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41</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41</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41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41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41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41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41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41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41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41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41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41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41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41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41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41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41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41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41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41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41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30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30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30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30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30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30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30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28</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28</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28</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28</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28</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28</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28</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28</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28</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30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30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30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30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30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30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30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28</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28</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28</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28</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28</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28</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28</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28</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28</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28</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28</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28</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21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21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21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21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21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21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21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21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21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21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21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21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21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21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21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21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20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20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20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21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21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21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21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21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21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21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21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21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21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21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20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20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20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20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20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20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20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20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20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20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20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20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20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20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20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20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20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20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20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20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20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20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20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20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20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20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20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20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20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20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20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20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20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20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20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20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20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20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20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20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20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20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20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20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20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20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20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20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20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20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20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20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20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20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20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20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20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20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20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20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20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20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20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20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20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20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20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20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20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20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20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20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20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20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20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20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20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20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20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20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20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20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20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20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20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16</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16</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16</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16</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16</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16</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16</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16</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16</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16</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16</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16</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16</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16</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16</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16</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16</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16</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16</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16</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16</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16</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16</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16</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16</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16</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14</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14</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14</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14</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14</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13</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13</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13</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13</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13</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13</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13</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13</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13</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13</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13</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13</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13</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13</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13</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13</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13</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13</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13</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13</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13</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13</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13</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13</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13</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13</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13</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13</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13</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11</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11</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11</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11</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11</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11</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11</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11</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11</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11</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11</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11</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11</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11</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11</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11</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11</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11</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11</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11</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11</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11</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11</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10</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10</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10</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10</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10</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10</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10</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10</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10</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10</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10</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10</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10</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10</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10</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11</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11</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11</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11</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11</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11</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5</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5</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5</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5</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5</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5</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5</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5</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5</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5</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5</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5</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5</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5</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5</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5</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5</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5</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5</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5</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5</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5</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5</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5</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5</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5</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5</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5</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5</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5</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5</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5</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5</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5</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5</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5</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5</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5</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5</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5</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7" t="s">
        <v>81</v>
      </c>
      <c r="C5336" s="71">
        <v>45968</v>
      </c>
      <c r="D5336" s="121" t="str">
        <f>VLOOKUP(B5336,辅助信息!E:K,7,FALSE)</f>
        <v>JWDDCD2025060900080</v>
      </c>
      <c r="E5336" s="121" t="str">
        <f>VLOOKUP(F5336,辅助信息!A:B,2,FALSE)</f>
        <v>盘螺</v>
      </c>
      <c r="F5336" s="121" t="s">
        <v>41</v>
      </c>
      <c r="G5336" s="122">
        <v>30</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（华西简阳西城嘉苑）四川省成都市简阳市简城街道高屋村</v>
      </c>
      <c r="J5336" s="121" t="str">
        <f>VLOOKUP(B5336,辅助信息!E:I,4,FALSE)</f>
        <v>张瀚镭</v>
      </c>
      <c r="K5336" s="121">
        <f>VLOOKUP(J5336,辅助信息!H:I,2,FALSE)</f>
        <v>15884666220</v>
      </c>
      <c r="L5336" s="123" t="str">
        <f>VLOOKUP(B5336,辅助信息!E:J,6,FALSE)</f>
        <v>现场禁止使用氢能源挂车！优先威钢发货,我方卸车,新老国标钢厂不加价可直发，因陕钢多次出现磅差，项目拒绝使用</v>
      </c>
      <c r="M5336" s="92"/>
      <c r="O5336" s="63" t="str">
        <f ca="1" t="shared" si="250"/>
        <v/>
      </c>
      <c r="P5336" s="63" t="str">
        <f ca="1" t="shared" si="251"/>
        <v/>
      </c>
      <c r="Q5336" s="29" t="str">
        <f>VLOOKUP(B5336,辅助信息!E:M,9,FALSE)</f>
        <v>ZTWM-CDGS-XS-2024-0030-华西集采-简州大道</v>
      </c>
      <c r="R5336" s="29" t="str">
        <f>_xlfn._xlws.FILTER(辅助信息!D:D,辅助信息!E:E=B5336)</f>
        <v>华西简阳西城嘉苑</v>
      </c>
    </row>
    <row r="5337" hidden="1" spans="2:18">
      <c r="B5337" s="137" t="s">
        <v>81</v>
      </c>
      <c r="C5337" s="71">
        <v>45968</v>
      </c>
      <c r="D5337" s="121" t="str">
        <f>VLOOKUP(B5337,辅助信息!E:K,7,FALSE)</f>
        <v>JWDDCD2025060900080</v>
      </c>
      <c r="E5337" s="121" t="str">
        <f>VLOOKUP(F5337,辅助信息!A:B,2,FALSE)</f>
        <v>盘螺</v>
      </c>
      <c r="F5337" s="121" t="s">
        <v>26</v>
      </c>
      <c r="G5337" s="122">
        <v>50</v>
      </c>
      <c r="H5337" s="135">
        <f>IF(SUMIFS('[1]2025年已发货'!$E:$E,'[1]2025年已发货'!$F:$F,C5337,'[1]2025年已发货'!$C:$C,F5337,'[1]2025年已发货'!$G:$G,I5337,'[1]2025年已发货'!$H:$H,J5337)=0,"未发货",SUMIFS('[1]2025年已发货'!$E:$E,'[1]2025年已发货'!$F:$F,C5337,'[1]2025年已发货'!$C:$C,F5337,'[1]2025年已发货'!$G:$G,I5337,'[1]2025年已发货'!$H:$H,J5337))</f>
        <v>50</v>
      </c>
      <c r="I5337" s="157" t="str">
        <f>VLOOKUP(B5337,辅助信息!E:I,3,FALSE)</f>
        <v>（华西简阳西城嘉苑）四川省成都市简阳市简城街道高屋村</v>
      </c>
      <c r="J5337" s="121" t="str">
        <f>VLOOKUP(B5337,辅助信息!E:I,4,FALSE)</f>
        <v>张瀚镭</v>
      </c>
      <c r="K5337" s="121">
        <f>VLOOKUP(J5337,辅助信息!H:I,2,FALSE)</f>
        <v>15884666220</v>
      </c>
      <c r="L5337" s="123" t="str">
        <f>VLOOKUP(B5337,辅助信息!E:J,6,FALSE)</f>
        <v>现场禁止使用氢能源挂车！优先威钢发货,我方卸车,新老国标钢厂不加价可直发，因陕钢多次出现磅差，项目拒绝使用</v>
      </c>
      <c r="M5337" s="92"/>
      <c r="O5337" s="63" t="str">
        <f ca="1" t="shared" si="250"/>
        <v/>
      </c>
      <c r="P5337" s="63" t="str">
        <f ca="1" t="shared" si="251"/>
        <v/>
      </c>
      <c r="Q5337" s="29" t="str">
        <f>VLOOKUP(B5337,辅助信息!E:M,9,FALSE)</f>
        <v>ZTWM-CDGS-XS-2024-0030-华西集采-简州大道</v>
      </c>
      <c r="R5337" s="29" t="str">
        <f>_xlfn._xlws.FILTER(辅助信息!D:D,辅助信息!E:E=B5337)</f>
        <v>华西简阳西城嘉苑</v>
      </c>
    </row>
    <row r="5338" hidden="1" spans="2:18">
      <c r="B5338" s="137" t="s">
        <v>81</v>
      </c>
      <c r="C5338" s="71">
        <v>45968</v>
      </c>
      <c r="D5338" s="121" t="str">
        <f>VLOOKUP(B5338,辅助信息!E:K,7,FALSE)</f>
        <v>JWDDCD2025060900080</v>
      </c>
      <c r="E5338" s="121" t="str">
        <f>VLOOKUP(F5338,辅助信息!A:B,2,FALSE)</f>
        <v>螺纹钢</v>
      </c>
      <c r="F5338" s="121" t="s">
        <v>30</v>
      </c>
      <c r="G5338" s="122">
        <v>20</v>
      </c>
      <c r="H5338" s="135">
        <f>IF(SUMIFS('[1]2025年已发货'!$E:$E,'[1]2025年已发货'!$F:$F,C5338,'[1]2025年已发货'!$C:$C,F5338,'[1]2025年已发货'!$G:$G,I5338,'[1]2025年已发货'!$H:$H,J5338)=0,"未发货",SUMIFS('[1]2025年已发货'!$E:$E,'[1]2025年已发货'!$F:$F,C5338,'[1]2025年已发货'!$C:$C,F5338,'[1]2025年已发货'!$G:$G,I5338,'[1]2025年已发货'!$H:$H,J5338))</f>
        <v>21</v>
      </c>
      <c r="I5338" s="157" t="str">
        <f>VLOOKUP(B5338,辅助信息!E:I,3,FALSE)</f>
        <v>（华西简阳西城嘉苑）四川省成都市简阳市简城街道高屋村</v>
      </c>
      <c r="J5338" s="121" t="str">
        <f>VLOOKUP(B5338,辅助信息!E:I,4,FALSE)</f>
        <v>张瀚镭</v>
      </c>
      <c r="K5338" s="121">
        <f>VLOOKUP(J5338,辅助信息!H:I,2,FALSE)</f>
        <v>15884666220</v>
      </c>
      <c r="L5338" s="123" t="str">
        <f>VLOOKUP(B5338,辅助信息!E:J,6,FALSE)</f>
        <v>现场禁止使用氢能源挂车！优先威钢发货,我方卸车,新老国标钢厂不加价可直发，因陕钢多次出现磅差，项目拒绝使用</v>
      </c>
      <c r="M5338" s="92"/>
      <c r="O5338" s="63" t="str">
        <f ca="1" t="shared" si="250"/>
        <v/>
      </c>
      <c r="P5338" s="63" t="str">
        <f ca="1" t="shared" si="251"/>
        <v/>
      </c>
      <c r="Q5338" s="29" t="str">
        <f>VLOOKUP(B5338,辅助信息!E:M,9,FALSE)</f>
        <v>ZTWM-CDGS-XS-2024-0030-华西集采-简州大道</v>
      </c>
      <c r="R5338" s="29" t="str">
        <f>_xlfn._xlws.FILTER(辅助信息!D:D,辅助信息!E:E=B5338)</f>
        <v>华西简阳西城嘉苑</v>
      </c>
    </row>
    <row r="5339" hidden="1" spans="2:18">
      <c r="B5339" s="137" t="s">
        <v>81</v>
      </c>
      <c r="C5339" s="71">
        <v>45968</v>
      </c>
      <c r="D5339" s="121" t="str">
        <f>VLOOKUP(B5339,辅助信息!E:K,7,FALSE)</f>
        <v>JWDDCD2025060900080</v>
      </c>
      <c r="E5339" s="121" t="str">
        <f>VLOOKUP(F5339,辅助信息!A:B,2,FALSE)</f>
        <v>螺纹钢</v>
      </c>
      <c r="F5339" s="121" t="s">
        <v>33</v>
      </c>
      <c r="G5339" s="122">
        <v>15</v>
      </c>
      <c r="H5339" s="135">
        <f>IF(SUMIFS('[1]2025年已发货'!$E:$E,'[1]2025年已发货'!$F:$F,C5339,'[1]2025年已发货'!$C:$C,F5339,'[1]2025年已发货'!$G:$G,I5339,'[1]2025年已发货'!$H:$H,J5339)=0,"未发货",SUMIFS('[1]2025年已发货'!$E:$E,'[1]2025年已发货'!$F:$F,C5339,'[1]2025年已发货'!$C:$C,F5339,'[1]2025年已发货'!$G:$G,I5339,'[1]2025年已发货'!$H:$H,J5339))</f>
        <v>15</v>
      </c>
      <c r="I5339" s="157" t="str">
        <f>VLOOKUP(B5339,辅助信息!E:I,3,FALSE)</f>
        <v>（华西简阳西城嘉苑）四川省成都市简阳市简城街道高屋村</v>
      </c>
      <c r="J5339" s="121" t="str">
        <f>VLOOKUP(B5339,辅助信息!E:I,4,FALSE)</f>
        <v>张瀚镭</v>
      </c>
      <c r="K5339" s="121">
        <f>VLOOKUP(J5339,辅助信息!H:I,2,FALSE)</f>
        <v>15884666220</v>
      </c>
      <c r="L5339" s="123" t="str">
        <f>VLOOKUP(B5339,辅助信息!E:J,6,FALSE)</f>
        <v>现场禁止使用氢能源挂车！优先威钢发货,我方卸车,新老国标钢厂不加价可直发，因陕钢多次出现磅差，项目拒绝使用</v>
      </c>
      <c r="M5339" s="92"/>
      <c r="O5339" s="63" t="str">
        <f ca="1" t="shared" si="250"/>
        <v/>
      </c>
      <c r="P5339" s="63" t="str">
        <f ca="1" t="shared" si="251"/>
        <v/>
      </c>
      <c r="Q5339" s="29" t="str">
        <f>VLOOKUP(B5339,辅助信息!E:M,9,FALSE)</f>
        <v>ZTWM-CDGS-XS-2024-0030-华西集采-简州大道</v>
      </c>
      <c r="R5339" s="29" t="str">
        <f>_xlfn._xlws.FILTER(辅助信息!D:D,辅助信息!E:E=B5339)</f>
        <v>华西简阳西城嘉苑</v>
      </c>
    </row>
    <row r="5340" hidden="1" spans="2:18">
      <c r="B5340" s="137" t="s">
        <v>81</v>
      </c>
      <c r="C5340" s="71">
        <v>45968</v>
      </c>
      <c r="D5340" s="121" t="str">
        <f>VLOOKUP(B5340,辅助信息!E:K,7,FALSE)</f>
        <v>JWDDCD2025060900080</v>
      </c>
      <c r="E5340" s="121" t="str">
        <f>VLOOKUP(F5340,辅助信息!A:B,2,FALSE)</f>
        <v>盘螺</v>
      </c>
      <c r="F5340" s="121" t="s">
        <v>49</v>
      </c>
      <c r="G5340" s="122">
        <v>30</v>
      </c>
      <c r="H5340" s="135">
        <f>IF(SUMIFS('[1]2025年已发货'!$E:$E,'[1]2025年已发货'!$F:$F,C5340,'[1]2025年已发货'!$C:$C,F5340,'[1]2025年已发货'!$G:$G,I5340,'[1]2025年已发货'!$H:$H,J5340)=0,"未发货",SUMIFS('[1]2025年已发货'!$E:$E,'[1]2025年已发货'!$F:$F,C5340,'[1]2025年已发货'!$C:$C,F5340,'[1]2025年已发货'!$G:$G,I5340,'[1]2025年已发货'!$H:$H,J5340))</f>
        <v>30</v>
      </c>
      <c r="I5340" s="157" t="str">
        <f>VLOOKUP(B5340,辅助信息!E:I,3,FALSE)</f>
        <v>（华西简阳西城嘉苑）四川省成都市简阳市简城街道高屋村</v>
      </c>
      <c r="J5340" s="121" t="str">
        <f>VLOOKUP(B5340,辅助信息!E:I,4,FALSE)</f>
        <v>张瀚镭</v>
      </c>
      <c r="K5340" s="121">
        <f>VLOOKUP(J5340,辅助信息!H:I,2,FALSE)</f>
        <v>15884666220</v>
      </c>
      <c r="L5340" s="123" t="str">
        <f>VLOOKUP(B5340,辅助信息!E:J,6,FALSE)</f>
        <v>现场禁止使用氢能源挂车！优先威钢发货,我方卸车,新老国标钢厂不加价可直发，因陕钢多次出现磅差，项目拒绝使用</v>
      </c>
      <c r="M5340" s="92"/>
      <c r="O5340" s="63" t="str">
        <f ca="1" t="shared" si="250"/>
        <v/>
      </c>
      <c r="P5340" s="63" t="str">
        <f ca="1" t="shared" si="251"/>
        <v/>
      </c>
      <c r="Q5340" s="29" t="str">
        <f>VLOOKUP(B5340,辅助信息!E:M,9,FALSE)</f>
        <v>ZTWM-CDGS-XS-2024-0030-华西集采-简州大道</v>
      </c>
      <c r="R5340" s="29" t="str">
        <f>_xlfn._xlws.FILTER(辅助信息!D:D,辅助信息!E:E=B5340)</f>
        <v>华西简阳西城嘉苑</v>
      </c>
    </row>
    <row r="5341" hidden="1" spans="2:18">
      <c r="B5341" s="137" t="s">
        <v>81</v>
      </c>
      <c r="C5341" s="71">
        <v>45968</v>
      </c>
      <c r="D5341" s="121" t="str">
        <f>VLOOKUP(B5341,辅助信息!E:K,7,FALSE)</f>
        <v>JWDDCD2025060900080</v>
      </c>
      <c r="E5341" s="121" t="str">
        <f>VLOOKUP(F5341,辅助信息!A:B,2,FALSE)</f>
        <v>盘螺</v>
      </c>
      <c r="F5341" s="121" t="s">
        <v>40</v>
      </c>
      <c r="G5341" s="122">
        <v>100</v>
      </c>
      <c r="H5341" s="135">
        <f>IF(SUMIFS('[1]2025年已发货'!$E:$E,'[1]2025年已发货'!$F:$F,C5341,'[1]2025年已发货'!$C:$C,F5341,'[1]2025年已发货'!$G:$G,I5341,'[1]2025年已发货'!$H:$H,J5341)=0,"未发货",SUMIFS('[1]2025年已发货'!$E:$E,'[1]2025年已发货'!$F:$F,C5341,'[1]2025年已发货'!$C:$C,F5341,'[1]2025年已发货'!$G:$G,I5341,'[1]2025年已发货'!$H:$H,J5341))</f>
        <v>102</v>
      </c>
      <c r="I5341" s="157" t="str">
        <f>VLOOKUP(B5341,辅助信息!E:I,3,FALSE)</f>
        <v>（华西简阳西城嘉苑）四川省成都市简阳市简城街道高屋村</v>
      </c>
      <c r="J5341" s="121" t="str">
        <f>VLOOKUP(B5341,辅助信息!E:I,4,FALSE)</f>
        <v>张瀚镭</v>
      </c>
      <c r="K5341" s="121">
        <f>VLOOKUP(J5341,辅助信息!H:I,2,FALSE)</f>
        <v>15884666220</v>
      </c>
      <c r="L5341" s="123" t="str">
        <f>VLOOKUP(B5341,辅助信息!E:J,6,FALSE)</f>
        <v>现场禁止使用氢能源挂车！优先威钢发货,我方卸车,新老国标钢厂不加价可直发，因陕钢多次出现磅差，项目拒绝使用</v>
      </c>
      <c r="M5341" s="92"/>
      <c r="O5341" s="63" t="str">
        <f ca="1" t="shared" si="250"/>
        <v/>
      </c>
      <c r="P5341" s="63" t="str">
        <f ca="1" t="shared" si="251"/>
        <v/>
      </c>
      <c r="Q5341" s="29" t="str">
        <f>VLOOKUP(B5341,辅助信息!E:M,9,FALSE)</f>
        <v>ZTWM-CDGS-XS-2024-0030-华西集采-简州大道</v>
      </c>
      <c r="R5341" s="29" t="str">
        <f>_xlfn._xlws.FILTER(辅助信息!D:D,辅助信息!E:E=B5341)</f>
        <v>华西简阳西城嘉苑</v>
      </c>
    </row>
    <row r="5342" hidden="1" spans="2:18">
      <c r="B5342" s="137" t="s">
        <v>187</v>
      </c>
      <c r="C5342" s="71">
        <v>45968</v>
      </c>
      <c r="D5342" s="121" t="str">
        <f>VLOOKUP(B5342,辅助信息!E:K,7,FALSE)</f>
        <v>JWDDCD2025072900121</v>
      </c>
      <c r="E5342" s="121" t="str">
        <f>VLOOKUP(F5342,辅助信息!A:B,2,FALSE)</f>
        <v>盘螺</v>
      </c>
      <c r="F5342" s="121" t="s">
        <v>41</v>
      </c>
      <c r="G5342" s="122">
        <v>17</v>
      </c>
      <c r="H5342" s="135">
        <f>IF(SUMIFS('[1]2025年已发货'!$E:$E,'[1]2025年已发货'!$F:$F,C5342,'[1]2025年已发货'!$C:$C,F5342,'[1]2025年已发货'!$G:$G,I5342,'[1]2025年已发货'!$H:$H,J5342)=0,"未发货",SUMIFS('[1]2025年已发货'!$E:$E,'[1]2025年已发货'!$F:$F,C5342,'[1]2025年已发货'!$C:$C,F5342,'[1]2025年已发货'!$G:$G,I5342,'[1]2025年已发货'!$H:$H,J5342))</f>
        <v>17</v>
      </c>
      <c r="I5342" s="157" t="str">
        <f>VLOOKUP(B5342,辅助信息!E:I,3,FALSE)</f>
        <v>(乐山市校地共建产教融合基地建设项目一标段)四川省乐山市市中区苏稽镇周山嘴</v>
      </c>
      <c r="J5342" s="121" t="str">
        <f>VLOOKUP(B5342,辅助信息!E:I,4,FALSE)</f>
        <v>范增云</v>
      </c>
      <c r="K5342" s="121">
        <f>VLOOKUP(J5342,辅助信息!H:I,2,FALSE)</f>
        <v>13668153241</v>
      </c>
      <c r="L5342" s="123" t="str">
        <f>VLOOKUP(B5342,辅助信息!E:J,6,FALSE)</f>
        <v>联系实际收货人（范增云13668153241）现场要求炉批号控制2个以下，超2个不给予签收。提前联系到场规格及数量</v>
      </c>
      <c r="M5342" s="92"/>
      <c r="O5342" s="63" t="str">
        <f ca="1" t="shared" si="250"/>
        <v/>
      </c>
      <c r="P5342" s="63"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7" t="s">
        <v>187</v>
      </c>
      <c r="C5343" s="71">
        <v>45968</v>
      </c>
      <c r="D5343" s="121" t="str">
        <f>VLOOKUP(B5343,辅助信息!E:K,7,FALSE)</f>
        <v>JWDDCD2025072900121</v>
      </c>
      <c r="E5343" s="121" t="str">
        <f>VLOOKUP(F5343,辅助信息!A:B,2,FALSE)</f>
        <v>盘螺</v>
      </c>
      <c r="F5343" s="121" t="s">
        <v>40</v>
      </c>
      <c r="G5343" s="122">
        <v>18</v>
      </c>
      <c r="H5343" s="135">
        <f>IF(SUMIFS('[1]2025年已发货'!$E:$E,'[1]2025年已发货'!$F:$F,C5343,'[1]2025年已发货'!$C:$C,F5343,'[1]2025年已发货'!$G:$G,I5343,'[1]2025年已发货'!$H:$H,J5343)=0,"未发货",SUMIFS('[1]2025年已发货'!$E:$E,'[1]2025年已发货'!$F:$F,C5343,'[1]2025年已发货'!$C:$C,F5343,'[1]2025年已发货'!$G:$G,I5343,'[1]2025年已发货'!$H:$H,J5343))</f>
        <v>18</v>
      </c>
      <c r="I5343" s="157" t="str">
        <f>VLOOKUP(B5343,辅助信息!E:I,3,FALSE)</f>
        <v>(乐山市校地共建产教融合基地建设项目一标段)四川省乐山市市中区苏稽镇周山嘴</v>
      </c>
      <c r="J5343" s="121" t="str">
        <f>VLOOKUP(B5343,辅助信息!E:I,4,FALSE)</f>
        <v>范增云</v>
      </c>
      <c r="K5343" s="121">
        <f>VLOOKUP(J5343,辅助信息!H:I,2,FALSE)</f>
        <v>13668153241</v>
      </c>
      <c r="L5343" s="123" t="str">
        <f>VLOOKUP(B5343,辅助信息!E:J,6,FALSE)</f>
        <v>联系实际收货人（范增云13668153241）现场要求炉批号控制2个以下，超2个不给予签收。提前联系到场规格及数量</v>
      </c>
      <c r="M5343" s="92"/>
      <c r="O5343" s="63" t="str">
        <f ca="1" t="shared" si="250"/>
        <v/>
      </c>
      <c r="P5343" s="63"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7" t="s">
        <v>187</v>
      </c>
      <c r="C5344" s="71">
        <v>45968</v>
      </c>
      <c r="D5344" s="121" t="str">
        <f>VLOOKUP(B5344,辅助信息!E:K,7,FALSE)</f>
        <v>JWDDCD2025072900121</v>
      </c>
      <c r="E5344" s="121" t="str">
        <f>VLOOKUP(F5344,辅助信息!A:B,2,FALSE)</f>
        <v>螺纹钢</v>
      </c>
      <c r="F5344" s="121" t="s">
        <v>22</v>
      </c>
      <c r="G5344" s="122">
        <v>11</v>
      </c>
      <c r="H5344" s="135">
        <f>IF(SUMIFS('[1]2025年已发货'!$E:$E,'[1]2025年已发货'!$F:$F,C5344,'[1]2025年已发货'!$C:$C,F5344,'[1]2025年已发货'!$G:$G,I5344,'[1]2025年已发货'!$H:$H,J5344)=0,"未发货",SUMIFS('[1]2025年已发货'!$E:$E,'[1]2025年已发货'!$F:$F,C5344,'[1]2025年已发货'!$C:$C,F5344,'[1]2025年已发货'!$G:$G,I5344,'[1]2025年已发货'!$H:$H,J5344))</f>
        <v>11</v>
      </c>
      <c r="I5344" s="157" t="str">
        <f>VLOOKUP(B5344,辅助信息!E:I,3,FALSE)</f>
        <v>(乐山市校地共建产教融合基地建设项目一标段)四川省乐山市市中区苏稽镇周山嘴</v>
      </c>
      <c r="J5344" s="121" t="str">
        <f>VLOOKUP(B5344,辅助信息!E:I,4,FALSE)</f>
        <v>范增云</v>
      </c>
      <c r="K5344" s="121">
        <f>VLOOKUP(J5344,辅助信息!H:I,2,FALSE)</f>
        <v>13668153241</v>
      </c>
      <c r="L5344" s="123" t="str">
        <f>VLOOKUP(B5344,辅助信息!E:J,6,FALSE)</f>
        <v>联系实际收货人（范增云13668153241）现场要求炉批号控制2个以下，超2个不给予签收。提前联系到场规格及数量</v>
      </c>
      <c r="M5344" s="92"/>
      <c r="O5344" s="63" t="str">
        <f ca="1" t="shared" si="250"/>
        <v/>
      </c>
      <c r="P5344" s="63"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7" t="s">
        <v>187</v>
      </c>
      <c r="C5345" s="71">
        <v>45968</v>
      </c>
      <c r="D5345" s="121" t="str">
        <f>VLOOKUP(B5345,辅助信息!E:K,7,FALSE)</f>
        <v>JWDDCD2025072900121</v>
      </c>
      <c r="E5345" s="121" t="str">
        <f>VLOOKUP(F5345,辅助信息!A:B,2,FALSE)</f>
        <v>螺纹钢</v>
      </c>
      <c r="F5345" s="121" t="s">
        <v>142</v>
      </c>
      <c r="G5345" s="122">
        <v>10</v>
      </c>
      <c r="H5345" s="135">
        <f>IF(SUMIFS('[1]2025年已发货'!$E:$E,'[1]2025年已发货'!$F:$F,C5345,'[1]2025年已发货'!$C:$C,F5345,'[1]2025年已发货'!$G:$G,I5345,'[1]2025年已发货'!$H:$H,J5345)=0,"未发货",SUMIFS('[1]2025年已发货'!$E:$E,'[1]2025年已发货'!$F:$F,C5345,'[1]2025年已发货'!$C:$C,F5345,'[1]2025年已发货'!$G:$G,I5345,'[1]2025年已发货'!$H:$H,J5345))</f>
        <v>10</v>
      </c>
      <c r="I5345" s="157" t="str">
        <f>VLOOKUP(B5345,辅助信息!E:I,3,FALSE)</f>
        <v>(乐山市校地共建产教融合基地建设项目一标段)四川省乐山市市中区苏稽镇周山嘴</v>
      </c>
      <c r="J5345" s="121" t="str">
        <f>VLOOKUP(B5345,辅助信息!E:I,4,FALSE)</f>
        <v>范增云</v>
      </c>
      <c r="K5345" s="121">
        <f>VLOOKUP(J5345,辅助信息!H:I,2,FALSE)</f>
        <v>13668153241</v>
      </c>
      <c r="L5345" s="123" t="str">
        <f>VLOOKUP(B5345,辅助信息!E:J,6,FALSE)</f>
        <v>联系实际收货人（范增云13668153241）现场要求炉批号控制2个以下，超2个不给予签收。提前联系到场规格及数量</v>
      </c>
      <c r="M5345" s="92"/>
      <c r="O5345" s="63" t="str">
        <f ca="1" t="shared" si="250"/>
        <v/>
      </c>
      <c r="P5345" s="63"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7" t="s">
        <v>187</v>
      </c>
      <c r="C5346" s="71">
        <v>45968</v>
      </c>
      <c r="D5346" s="121" t="str">
        <f>VLOOKUP(B5346,辅助信息!E:K,7,FALSE)</f>
        <v>JWDDCD2025072900121</v>
      </c>
      <c r="E5346" s="121" t="str">
        <f>VLOOKUP(F5346,辅助信息!A:B,2,FALSE)</f>
        <v>螺纹钢</v>
      </c>
      <c r="F5346" s="121" t="s">
        <v>200</v>
      </c>
      <c r="G5346" s="122">
        <v>6</v>
      </c>
      <c r="H5346" s="135">
        <f>IF(SUMIFS('[1]2025年已发货'!$E:$E,'[1]2025年已发货'!$F:$F,C5346,'[1]2025年已发货'!$C:$C,F5346,'[1]2025年已发货'!$G:$G,I5346,'[1]2025年已发货'!$H:$H,J5346)=0,"未发货",SUMIFS('[1]2025年已发货'!$E:$E,'[1]2025年已发货'!$F:$F,C5346,'[1]2025年已发货'!$C:$C,F5346,'[1]2025年已发货'!$G:$G,I5346,'[1]2025年已发货'!$H:$H,J5346))</f>
        <v>6</v>
      </c>
      <c r="I5346" s="157" t="str">
        <f>VLOOKUP(B5346,辅助信息!E:I,3,FALSE)</f>
        <v>(乐山市校地共建产教融合基地建设项目一标段)四川省乐山市市中区苏稽镇周山嘴</v>
      </c>
      <c r="J5346" s="121" t="str">
        <f>VLOOKUP(B5346,辅助信息!E:I,4,FALSE)</f>
        <v>范增云</v>
      </c>
      <c r="K5346" s="121">
        <f>VLOOKUP(J5346,辅助信息!H:I,2,FALSE)</f>
        <v>13668153241</v>
      </c>
      <c r="L5346" s="123" t="str">
        <f>VLOOKUP(B5346,辅助信息!E:J,6,FALSE)</f>
        <v>联系实际收货人（范增云13668153241）现场要求炉批号控制2个以下，超2个不给予签收。提前联系到场规格及数量</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7" t="s">
        <v>187</v>
      </c>
      <c r="C5347" s="71">
        <v>45968</v>
      </c>
      <c r="D5347" s="121" t="str">
        <f>VLOOKUP(B5347,辅助信息!E:K,7,FALSE)</f>
        <v>JWDDCD2025072900121</v>
      </c>
      <c r="E5347" s="121" t="str">
        <f>VLOOKUP(F5347,辅助信息!A:B,2,FALSE)</f>
        <v>螺纹钢</v>
      </c>
      <c r="F5347" s="121" t="s">
        <v>201</v>
      </c>
      <c r="G5347" s="122">
        <v>8</v>
      </c>
      <c r="H5347" s="135">
        <f>IF(SUMIFS('[1]2025年已发货'!$E:$E,'[1]2025年已发货'!$F:$F,C5347,'[1]2025年已发货'!$C:$C,F5347,'[1]2025年已发货'!$G:$G,I5347,'[1]2025年已发货'!$H:$H,J5347)=0,"未发货",SUMIFS('[1]2025年已发货'!$E:$E,'[1]2025年已发货'!$F:$F,C5347,'[1]2025年已发货'!$C:$C,F5347,'[1]2025年已发货'!$G:$G,I5347,'[1]2025年已发货'!$H:$H,J5347))</f>
        <v>8</v>
      </c>
      <c r="I5347" s="157" t="str">
        <f>VLOOKUP(B5347,辅助信息!E:I,3,FALSE)</f>
        <v>(乐山市校地共建产教融合基地建设项目一标段)四川省乐山市市中区苏稽镇周山嘴</v>
      </c>
      <c r="J5347" s="121" t="str">
        <f>VLOOKUP(B5347,辅助信息!E:I,4,FALSE)</f>
        <v>范增云</v>
      </c>
      <c r="K5347" s="121">
        <f>VLOOKUP(J5347,辅助信息!H:I,2,FALSE)</f>
        <v>13668153241</v>
      </c>
      <c r="L5347" s="123" t="str">
        <f>VLOOKUP(B5347,辅助信息!E:J,6,FALSE)</f>
        <v>联系实际收货人（范增云13668153241）现场要求炉批号控制2个以下，超2个不给予签收。提前联系到场规格及数量</v>
      </c>
      <c r="M5347" s="92"/>
      <c r="O5347" s="63" t="str">
        <f ca="1" t="shared" si="252"/>
        <v/>
      </c>
      <c r="P5347" s="63"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7" t="s">
        <v>232</v>
      </c>
      <c r="C5348" s="71">
        <v>45968</v>
      </c>
      <c r="D5348" s="121" t="str">
        <f>VLOOKUP(B5348,辅助信息!E:K,7,FALSE)</f>
        <v>JWDDCD2025052800131</v>
      </c>
      <c r="E5348" s="121" t="str">
        <f>VLOOKUP(F5348,辅助信息!A:B,2,FALSE)</f>
        <v>盘螺</v>
      </c>
      <c r="F5348" s="121" t="s">
        <v>41</v>
      </c>
      <c r="G5348" s="122">
        <v>9</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（商投建工达州中医药科技园-2工区-2号桥）达州市通川区达州中医药职业学院犀牛大道北段</v>
      </c>
      <c r="J5348" s="121" t="str">
        <f>VLOOKUP(B5348,辅助信息!E:I,4,FALSE)</f>
        <v>李波</v>
      </c>
      <c r="K5348" s="121">
        <f>VLOOKUP(J5348,辅助信息!H:I,2,FALSE)</f>
        <v>18381899787</v>
      </c>
      <c r="L5348" s="123" t="str">
        <f>VLOOKUP(B5348,辅助信息!E:J,6,FALSE)</f>
        <v>控制炉批号！多了现场不收！,优先安排达钢,提前联系到场规格及数量</v>
      </c>
      <c r="M5348" s="92">
        <v>45965</v>
      </c>
      <c r="O5348" s="63">
        <f ca="1" t="shared" si="252"/>
        <v>0</v>
      </c>
      <c r="P5348" s="63">
        <f ca="1" t="shared" si="253"/>
        <v>5</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7" t="s">
        <v>232</v>
      </c>
      <c r="C5349" s="71">
        <v>45968</v>
      </c>
      <c r="D5349" s="121" t="str">
        <f>VLOOKUP(B5349,辅助信息!E:K,7,FALSE)</f>
        <v>JWDDCD2025052800131</v>
      </c>
      <c r="E5349" s="121" t="str">
        <f>VLOOKUP(F5349,辅助信息!A:B,2,FALSE)</f>
        <v>螺纹钢</v>
      </c>
      <c r="F5349" s="121" t="s">
        <v>27</v>
      </c>
      <c r="G5349" s="122">
        <v>29</v>
      </c>
      <c r="H5349" s="135">
        <f>IF(SUMIFS('[1]2025年已发货'!$E:$E,'[1]2025年已发货'!$F:$F,C5349,'[1]2025年已发货'!$C:$C,F5349,'[1]2025年已发货'!$G:$G,I5349,'[1]2025年已发货'!$H:$H,J5349)=0,"未发货",SUMIFS('[1]2025年已发货'!$E:$E,'[1]2025年已发货'!$F:$F,C5349,'[1]2025年已发货'!$C:$C,F5349,'[1]2025年已发货'!$G:$G,I5349,'[1]2025年已发货'!$H:$H,J5349))</f>
        <v>30</v>
      </c>
      <c r="I5349" s="157" t="str">
        <f>VLOOKUP(B5349,辅助信息!E:I,3,FALSE)</f>
        <v>（商投建工达州中医药科技园-2工区-2号桥）达州市通川区达州中医药职业学院犀牛大道北段</v>
      </c>
      <c r="J5349" s="121" t="str">
        <f>VLOOKUP(B5349,辅助信息!E:I,4,FALSE)</f>
        <v>李波</v>
      </c>
      <c r="K5349" s="121">
        <f>VLOOKUP(J5349,辅助信息!H:I,2,FALSE)</f>
        <v>18381899787</v>
      </c>
      <c r="L5349" s="123" t="str">
        <f>VLOOKUP(B5349,辅助信息!E:J,6,FALSE)</f>
        <v>控制炉批号！多了现场不收！,优先安排达钢,提前联系到场规格及数量</v>
      </c>
      <c r="M5349" s="92">
        <v>45965</v>
      </c>
      <c r="O5349" s="63">
        <f ca="1" t="shared" si="252"/>
        <v>0</v>
      </c>
      <c r="P5349" s="63">
        <f ca="1" t="shared" si="253"/>
        <v>5</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7" t="s">
        <v>232</v>
      </c>
      <c r="C5350" s="71">
        <v>45968</v>
      </c>
      <c r="D5350" s="121" t="str">
        <f>VLOOKUP(B5350,辅助信息!E:K,7,FALSE)</f>
        <v>JWDDCD2025052800131</v>
      </c>
      <c r="E5350" s="121" t="str">
        <f>VLOOKUP(F5350,辅助信息!A:B,2,FALSE)</f>
        <v>螺纹钢</v>
      </c>
      <c r="F5350" s="121" t="s">
        <v>19</v>
      </c>
      <c r="G5350" s="122">
        <v>200</v>
      </c>
      <c r="H5350" s="135">
        <f>IF(SUMIFS('[1]2025年已发货'!$E:$E,'[1]2025年已发货'!$F:$F,C5350,'[1]2025年已发货'!$C:$C,F5350,'[1]2025年已发货'!$G:$G,I5350,'[1]2025年已发货'!$H:$H,J5350)=0,"未发货",SUMIFS('[1]2025年已发货'!$E:$E,'[1]2025年已发货'!$F:$F,C5350,'[1]2025年已发货'!$C:$C,F5350,'[1]2025年已发货'!$G:$G,I5350,'[1]2025年已发货'!$H:$H,J5350))</f>
        <v>144</v>
      </c>
      <c r="I5350" s="157" t="str">
        <f>VLOOKUP(B5350,辅助信息!E:I,3,FALSE)</f>
        <v>（商投建工达州中医药科技园-2工区-2号桥）达州市通川区达州中医药职业学院犀牛大道北段</v>
      </c>
      <c r="J5350" s="121" t="str">
        <f>VLOOKUP(B5350,辅助信息!E:I,4,FALSE)</f>
        <v>李波</v>
      </c>
      <c r="K5350" s="121">
        <f>VLOOKUP(J5350,辅助信息!H:I,2,FALSE)</f>
        <v>18381899787</v>
      </c>
      <c r="L5350" s="123" t="str">
        <f>VLOOKUP(B5350,辅助信息!E:J,6,FALSE)</f>
        <v>控制炉批号！多了现场不收！,优先安排达钢,提前联系到场规格及数量</v>
      </c>
      <c r="O5350" s="63" t="str">
        <f ca="1" t="shared" si="252"/>
        <v/>
      </c>
      <c r="P5350" s="63"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7" t="s">
        <v>232</v>
      </c>
      <c r="C5351" s="71">
        <v>45968</v>
      </c>
      <c r="D5351" s="121" t="str">
        <f>VLOOKUP(B5351,辅助信息!E:K,7,FALSE)</f>
        <v>JWDDCD2025052800131</v>
      </c>
      <c r="E5351" s="121" t="str">
        <f>VLOOKUP(F5351,辅助信息!A:B,2,FALSE)</f>
        <v>螺纹钢</v>
      </c>
      <c r="F5351" s="121" t="s">
        <v>32</v>
      </c>
      <c r="G5351" s="122">
        <v>3</v>
      </c>
      <c r="H5351" s="135">
        <f>IF(SUMIFS('[1]2025年已发货'!$E:$E,'[1]2025年已发货'!$F:$F,C5351,'[1]2025年已发货'!$C:$C,F5351,'[1]2025年已发货'!$G:$G,I5351,'[1]2025年已发货'!$H:$H,J5351)=0,"未发货",SUMIFS('[1]2025年已发货'!$E:$E,'[1]2025年已发货'!$F:$F,C5351,'[1]2025年已发货'!$C:$C,F5351,'[1]2025年已发货'!$G:$G,I5351,'[1]2025年已发货'!$H:$H,J5351))</f>
        <v>3</v>
      </c>
      <c r="I5351" s="157" t="str">
        <f>VLOOKUP(B5351,辅助信息!E:I,3,FALSE)</f>
        <v>（商投建工达州中医药科技园-2工区-2号桥）达州市通川区达州中医药职业学院犀牛大道北段</v>
      </c>
      <c r="J5351" s="121" t="str">
        <f>VLOOKUP(B5351,辅助信息!E:I,4,FALSE)</f>
        <v>李波</v>
      </c>
      <c r="K5351" s="121">
        <f>VLOOKUP(J5351,辅助信息!H:I,2,FALSE)</f>
        <v>18381899787</v>
      </c>
      <c r="L5351" s="123" t="str">
        <f>VLOOKUP(B5351,辅助信息!E:J,6,FALSE)</f>
        <v>控制炉批号！多了现场不收！,优先安排达钢,提前联系到场规格及数量</v>
      </c>
      <c r="O5351" s="63" t="str">
        <f ca="1" t="shared" si="252"/>
        <v/>
      </c>
      <c r="P5351" s="63"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7" t="s">
        <v>232</v>
      </c>
      <c r="C5352" s="71">
        <v>45968</v>
      </c>
      <c r="D5352" s="121" t="str">
        <f>VLOOKUP(B5352,辅助信息!E:K,7,FALSE)</f>
        <v>JWDDCD2025052800131</v>
      </c>
      <c r="E5352" s="121" t="str">
        <f>VLOOKUP(F5352,辅助信息!A:B,2,FALSE)</f>
        <v>螺纹钢</v>
      </c>
      <c r="F5352" s="121" t="s">
        <v>66</v>
      </c>
      <c r="G5352" s="122">
        <v>30</v>
      </c>
      <c r="H5352" s="135">
        <f>IF(SUMIFS('[1]2025年已发货'!$E:$E,'[1]2025年已发货'!$F:$F,C5352,'[1]2025年已发货'!$C:$C,F5352,'[1]2025年已发货'!$G:$G,I5352,'[1]2025年已发货'!$H:$H,J5352)=0,"未发货",SUMIFS('[1]2025年已发货'!$E:$E,'[1]2025年已发货'!$F:$F,C5352,'[1]2025年已发货'!$C:$C,F5352,'[1]2025年已发货'!$G:$G,I5352,'[1]2025年已发货'!$H:$H,J5352))</f>
        <v>30</v>
      </c>
      <c r="I5352" s="157" t="str">
        <f>VLOOKUP(B5352,辅助信息!E:I,3,FALSE)</f>
        <v>（商投建工达州中医药科技园-2工区-2号桥）达州市通川区达州中医药职业学院犀牛大道北段</v>
      </c>
      <c r="J5352" s="121" t="str">
        <f>VLOOKUP(B5352,辅助信息!E:I,4,FALSE)</f>
        <v>李波</v>
      </c>
      <c r="K5352" s="121">
        <f>VLOOKUP(J5352,辅助信息!H:I,2,FALSE)</f>
        <v>18381899787</v>
      </c>
      <c r="L5352" s="123" t="str">
        <f>VLOOKUP(B5352,辅助信息!E:J,6,FALSE)</f>
        <v>控制炉批号！多了现场不收！,优先安排达钢,提前联系到场规格及数量</v>
      </c>
      <c r="O5352" s="63" t="str">
        <f ca="1" t="shared" si="252"/>
        <v/>
      </c>
      <c r="P5352" s="63"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7" t="s">
        <v>232</v>
      </c>
      <c r="C5353" s="71">
        <v>45968</v>
      </c>
      <c r="D5353" s="121" t="str">
        <f>VLOOKUP(B5353,辅助信息!E:K,7,FALSE)</f>
        <v>JWDDCD2025052800131</v>
      </c>
      <c r="E5353" s="121" t="str">
        <f>VLOOKUP(F5353,辅助信息!A:B,2,FALSE)</f>
        <v>螺纹钢</v>
      </c>
      <c r="F5353" s="121" t="s">
        <v>46</v>
      </c>
      <c r="G5353" s="122">
        <v>30</v>
      </c>
      <c r="H5353" s="135">
        <f>IF(SUMIFS('[1]2025年已发货'!$E:$E,'[1]2025年已发货'!$F:$F,C5353,'[1]2025年已发货'!$C:$C,F5353,'[1]2025年已发货'!$G:$G,I5353,'[1]2025年已发货'!$H:$H,J5353)=0,"未发货",SUMIFS('[1]2025年已发货'!$E:$E,'[1]2025年已发货'!$F:$F,C5353,'[1]2025年已发货'!$C:$C,F5353,'[1]2025年已发货'!$G:$G,I5353,'[1]2025年已发货'!$H:$H,J5353))</f>
        <v>30</v>
      </c>
      <c r="I5353" s="157" t="str">
        <f>VLOOKUP(B5353,辅助信息!E:I,3,FALSE)</f>
        <v>（商投建工达州中医药科技园-2工区-2号桥）达州市通川区达州中医药职业学院犀牛大道北段</v>
      </c>
      <c r="J5353" s="121" t="str">
        <f>VLOOKUP(B5353,辅助信息!E:I,4,FALSE)</f>
        <v>李波</v>
      </c>
      <c r="K5353" s="121">
        <f>VLOOKUP(J5353,辅助信息!H:I,2,FALSE)</f>
        <v>18381899787</v>
      </c>
      <c r="L5353" s="123" t="str">
        <f>VLOOKUP(B5353,辅助信息!E:J,6,FALSE)</f>
        <v>控制炉批号！多了现场不收！,优先安排达钢,提前联系到场规格及数量</v>
      </c>
      <c r="O5353" s="63" t="str">
        <f ca="1" t="shared" si="252"/>
        <v/>
      </c>
      <c r="P5353" s="63"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7" t="s">
        <v>232</v>
      </c>
      <c r="C5354" s="71">
        <v>45968</v>
      </c>
      <c r="D5354" s="121" t="str">
        <f>VLOOKUP(B5354,辅助信息!E:K,7,FALSE)</f>
        <v>JWDDCD2025052800131</v>
      </c>
      <c r="E5354" s="121" t="str">
        <f>VLOOKUP(F5354,辅助信息!A:B,2,FALSE)</f>
        <v>螺纹钢</v>
      </c>
      <c r="F5354" s="121" t="s">
        <v>22</v>
      </c>
      <c r="G5354" s="122">
        <v>45</v>
      </c>
      <c r="H5354" s="135">
        <f>IF(SUMIFS('[1]2025年已发货'!$E:$E,'[1]2025年已发货'!$F:$F,C5354,'[1]2025年已发货'!$C:$C,F5354,'[1]2025年已发货'!$G:$G,I5354,'[1]2025年已发货'!$H:$H,J5354)=0,"未发货",SUMIFS('[1]2025年已发货'!$E:$E,'[1]2025年已发货'!$F:$F,C5354,'[1]2025年已发货'!$C:$C,F5354,'[1]2025年已发货'!$G:$G,I5354,'[1]2025年已发货'!$H:$H,J5354))</f>
        <v>45</v>
      </c>
      <c r="I5354" s="157" t="str">
        <f>VLOOKUP(B5354,辅助信息!E:I,3,FALSE)</f>
        <v>（商投建工达州中医药科技园-2工区-2号桥）达州市通川区达州中医药职业学院犀牛大道北段</v>
      </c>
      <c r="J5354" s="121" t="str">
        <f>VLOOKUP(B5354,辅助信息!E:I,4,FALSE)</f>
        <v>李波</v>
      </c>
      <c r="K5354" s="121">
        <f>VLOOKUP(J5354,辅助信息!H:I,2,FALSE)</f>
        <v>18381899787</v>
      </c>
      <c r="L5354" s="123" t="str">
        <f>VLOOKUP(B5354,辅助信息!E:J,6,FALSE)</f>
        <v>控制炉批号！多了现场不收！,优先安排达钢,提前联系到场规格及数量</v>
      </c>
      <c r="O5354" s="63" t="str">
        <f ca="1" t="shared" si="252"/>
        <v/>
      </c>
      <c r="P5354" s="63"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7" t="s">
        <v>228</v>
      </c>
      <c r="C5355" s="71">
        <v>45968</v>
      </c>
      <c r="D5355" s="121" t="str">
        <f>VLOOKUP(B5355,辅助信息!E:K,7,FALSE)</f>
        <v>JWDDCD2025092400190</v>
      </c>
      <c r="E5355" s="121" t="str">
        <f>VLOOKUP(F5355,辅助信息!A:B,2,FALSE)</f>
        <v>螺纹钢</v>
      </c>
      <c r="F5355" s="121" t="s">
        <v>27</v>
      </c>
      <c r="G5355" s="122">
        <v>10</v>
      </c>
      <c r="H5355" s="135">
        <f>IF(SUMIFS('[1]2025年已发货'!$E:$E,'[1]2025年已发货'!$F:$F,C5355,'[1]2025年已发货'!$C:$C,F5355,'[1]2025年已发货'!$G:$G,I5355,'[1]2025年已发货'!$H:$H,J5355)=0,"未发货",SUMIFS('[1]2025年已发货'!$E:$E,'[1]2025年已发货'!$F:$F,C5355,'[1]2025年已发货'!$C:$C,F5355,'[1]2025年已发货'!$G:$G,I5355,'[1]2025年已发货'!$H:$H,J5355))</f>
        <v>9</v>
      </c>
      <c r="I5355" s="157" t="str">
        <f>VLOOKUP(B5355,辅助信息!E:I,3,FALSE)</f>
        <v>(五冶钢构龙泉东洪片区70亩住宅、商业及配套工程项目二标段)成都市龙泉驿外东洪路地铁2号线惠王陵地铁C口</v>
      </c>
      <c r="J5355" s="121" t="str">
        <f>VLOOKUP(B5355,辅助信息!E:I,4,FALSE)</f>
        <v>蒋嗣伟</v>
      </c>
      <c r="K5355" s="121">
        <f>VLOOKUP(J5355,辅助信息!H:I,2,FALSE)</f>
        <v>15014331252</v>
      </c>
      <c r="L5355" s="123">
        <f>VLOOKUP(B5355,辅助信息!E:J,6,FALSE)</f>
        <v>0</v>
      </c>
      <c r="O5355" s="63" t="str">
        <f ca="1" t="shared" si="252"/>
        <v/>
      </c>
      <c r="P5355" s="63"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7" t="s">
        <v>228</v>
      </c>
      <c r="C5356" s="71">
        <v>45968</v>
      </c>
      <c r="D5356" s="121" t="str">
        <f>VLOOKUP(B5356,辅助信息!E:K,7,FALSE)</f>
        <v>JWDDCD2025092400190</v>
      </c>
      <c r="E5356" s="121" t="str">
        <f>VLOOKUP(F5356,辅助信息!A:B,2,FALSE)</f>
        <v>螺纹钢</v>
      </c>
      <c r="F5356" s="121" t="s">
        <v>19</v>
      </c>
      <c r="G5356" s="122">
        <v>10</v>
      </c>
      <c r="H5356" s="135">
        <f>IF(SUMIFS('[1]2025年已发货'!$E:$E,'[1]2025年已发货'!$F:$F,C5356,'[1]2025年已发货'!$C:$C,F5356,'[1]2025年已发货'!$G:$G,I5356,'[1]2025年已发货'!$H:$H,J5356)=0,"未发货",SUMIFS('[1]2025年已发货'!$E:$E,'[1]2025年已发货'!$F:$F,C5356,'[1]2025年已发货'!$C:$C,F5356,'[1]2025年已发货'!$G:$G,I5356,'[1]2025年已发货'!$H:$H,J5356))</f>
        <v>6</v>
      </c>
      <c r="I5356" s="157" t="str">
        <f>VLOOKUP(B5356,辅助信息!E:I,3,FALSE)</f>
        <v>(五冶钢构龙泉东洪片区70亩住宅、商业及配套工程项目二标段)成都市龙泉驿外东洪路地铁2号线惠王陵地铁C口</v>
      </c>
      <c r="J5356" s="121" t="str">
        <f>VLOOKUP(B5356,辅助信息!E:I,4,FALSE)</f>
        <v>蒋嗣伟</v>
      </c>
      <c r="K5356" s="121">
        <f>VLOOKUP(J5356,辅助信息!H:I,2,FALSE)</f>
        <v>15014331252</v>
      </c>
      <c r="L5356" s="123">
        <f>VLOOKUP(B5356,辅助信息!E:J,6,FALSE)</f>
        <v>0</v>
      </c>
      <c r="O5356" s="63" t="str">
        <f ca="1" t="shared" si="252"/>
        <v/>
      </c>
      <c r="P5356" s="63"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7" t="s">
        <v>228</v>
      </c>
      <c r="C5357" s="71">
        <v>45968</v>
      </c>
      <c r="D5357" s="121" t="str">
        <f>VLOOKUP(B5357,辅助信息!E:K,7,FALSE)</f>
        <v>JWDDCD2025092400190</v>
      </c>
      <c r="E5357" s="121" t="str">
        <f>VLOOKUP(F5357,辅助信息!A:B,2,FALSE)</f>
        <v>螺纹钢</v>
      </c>
      <c r="F5357" s="121" t="s">
        <v>32</v>
      </c>
      <c r="G5357" s="122">
        <v>15</v>
      </c>
      <c r="H5357" s="135">
        <f>IF(SUMIFS('[1]2025年已发货'!$E:$E,'[1]2025年已发货'!$F:$F,C5357,'[1]2025年已发货'!$C:$C,F5357,'[1]2025年已发货'!$G:$G,I5357,'[1]2025年已发货'!$H:$H,J5357)=0,"未发货",SUMIFS('[1]2025年已发货'!$E:$E,'[1]2025年已发货'!$F:$F,C5357,'[1]2025年已发货'!$C:$C,F5357,'[1]2025年已发货'!$G:$G,I5357,'[1]2025年已发货'!$H:$H,J5357))</f>
        <v>12</v>
      </c>
      <c r="I5357" s="157" t="str">
        <f>VLOOKUP(B5357,辅助信息!E:I,3,FALSE)</f>
        <v>(五冶钢构龙泉东洪片区70亩住宅、商业及配套工程项目二标段)成都市龙泉驿外东洪路地铁2号线惠王陵地铁C口</v>
      </c>
      <c r="J5357" s="121" t="str">
        <f>VLOOKUP(B5357,辅助信息!E:I,4,FALSE)</f>
        <v>蒋嗣伟</v>
      </c>
      <c r="K5357" s="121">
        <f>VLOOKUP(J5357,辅助信息!H:I,2,FALSE)</f>
        <v>15014331252</v>
      </c>
      <c r="L5357" s="123">
        <f>VLOOKUP(B5357,辅助信息!E:J,6,FALSE)</f>
        <v>0</v>
      </c>
      <c r="O5357" s="63" t="str">
        <f ca="1" t="shared" si="252"/>
        <v/>
      </c>
      <c r="P5357" s="63"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7" t="s">
        <v>228</v>
      </c>
      <c r="C5358" s="71">
        <v>45968</v>
      </c>
      <c r="D5358" s="121" t="str">
        <f>VLOOKUP(B5358,辅助信息!E:K,7,FALSE)</f>
        <v>JWDDCD2025092400190</v>
      </c>
      <c r="E5358" s="121" t="str">
        <f>VLOOKUP(F5358,辅助信息!A:B,2,FALSE)</f>
        <v>螺纹钢</v>
      </c>
      <c r="F5358" s="121" t="s">
        <v>30</v>
      </c>
      <c r="G5358" s="122">
        <v>27.5</v>
      </c>
      <c r="H5358" s="135">
        <f>IF(SUMIFS('[1]2025年已发货'!$E:$E,'[1]2025年已发货'!$F:$F,C5358,'[1]2025年已发货'!$C:$C,F5358,'[1]2025年已发货'!$G:$G,I5358,'[1]2025年已发货'!$H:$H,J5358)=0,"未发货",SUMIFS('[1]2025年已发货'!$E:$E,'[1]2025年已发货'!$F:$F,C5358,'[1]2025年已发货'!$C:$C,F5358,'[1]2025年已发货'!$G:$G,I5358,'[1]2025年已发货'!$H:$H,J5358))</f>
        <v>6</v>
      </c>
      <c r="I5358" s="157" t="str">
        <f>VLOOKUP(B5358,辅助信息!E:I,3,FALSE)</f>
        <v>(五冶钢构龙泉东洪片区70亩住宅、商业及配套工程项目二标段)成都市龙泉驿外东洪路地铁2号线惠王陵地铁C口</v>
      </c>
      <c r="J5358" s="121" t="str">
        <f>VLOOKUP(B5358,辅助信息!E:I,4,FALSE)</f>
        <v>蒋嗣伟</v>
      </c>
      <c r="K5358" s="121">
        <f>VLOOKUP(J5358,辅助信息!H:I,2,FALSE)</f>
        <v>15014331252</v>
      </c>
      <c r="L5358" s="123">
        <f>VLOOKUP(B5358,辅助信息!E:J,6,FALSE)</f>
        <v>0</v>
      </c>
      <c r="O5358" s="63" t="str">
        <f ca="1" t="shared" si="252"/>
        <v/>
      </c>
      <c r="P5358" s="63"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7" t="s">
        <v>228</v>
      </c>
      <c r="C5359" s="71">
        <v>45968</v>
      </c>
      <c r="D5359" s="121" t="str">
        <f>VLOOKUP(B5359,辅助信息!E:K,7,FALSE)</f>
        <v>JWDDCD2025092400190</v>
      </c>
      <c r="E5359" s="121" t="str">
        <f>VLOOKUP(F5359,辅助信息!A:B,2,FALSE)</f>
        <v>螺纹钢</v>
      </c>
      <c r="F5359" s="121" t="s">
        <v>28</v>
      </c>
      <c r="G5359" s="122">
        <v>7.5</v>
      </c>
      <c r="H5359" s="135">
        <f>IF(SUMIFS('[1]2025年已发货'!$E:$E,'[1]2025年已发货'!$F:$F,C5359,'[1]2025年已发货'!$C:$C,F5359,'[1]2025年已发货'!$G:$G,I5359,'[1]2025年已发货'!$H:$H,J5359)=0,"未发货",SUMIFS('[1]2025年已发货'!$E:$E,'[1]2025年已发货'!$F:$F,C5359,'[1]2025年已发货'!$C:$C,F5359,'[1]2025年已发货'!$G:$G,I5359,'[1]2025年已发货'!$H:$H,J5359))</f>
        <v>5</v>
      </c>
      <c r="I5359" s="157" t="str">
        <f>VLOOKUP(B5359,辅助信息!E:I,3,FALSE)</f>
        <v>(五冶钢构龙泉东洪片区70亩住宅、商业及配套工程项目二标段)成都市龙泉驿外东洪路地铁2号线惠王陵地铁C口</v>
      </c>
      <c r="J5359" s="121" t="str">
        <f>VLOOKUP(B5359,辅助信息!E:I,4,FALSE)</f>
        <v>蒋嗣伟</v>
      </c>
      <c r="K5359" s="121">
        <f>VLOOKUP(J5359,辅助信息!H:I,2,FALSE)</f>
        <v>15014331252</v>
      </c>
      <c r="L5359" s="123">
        <f>VLOOKUP(B5359,辅助信息!E:J,6,FALSE)</f>
        <v>0</v>
      </c>
      <c r="O5359" s="63" t="str">
        <f ca="1" t="shared" si="252"/>
        <v/>
      </c>
      <c r="P5359" s="63"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7" t="s">
        <v>224</v>
      </c>
      <c r="C5360" s="71">
        <v>45968</v>
      </c>
      <c r="D5360" s="121" t="str">
        <f>VLOOKUP(B5360,辅助信息!E:K,7,FALSE)</f>
        <v>JWDDCD2025092400188</v>
      </c>
      <c r="E5360" s="121" t="str">
        <f>VLOOKUP(F5360,辅助信息!A:B,2,FALSE)</f>
        <v>螺纹钢</v>
      </c>
      <c r="F5360" s="121" t="s">
        <v>27</v>
      </c>
      <c r="G5360" s="122">
        <v>35</v>
      </c>
      <c r="H5360" s="135">
        <f>IF(SUMIFS('[1]2025年已发货'!$E:$E,'[1]2025年已发货'!$F:$F,C5360,'[1]2025年已发货'!$C:$C,F5360,'[1]2025年已发货'!$G:$G,I5360,'[1]2025年已发货'!$H:$H,J5360)=0,"未发货",SUMIFS('[1]2025年已发货'!$E:$E,'[1]2025年已发货'!$F:$F,C5360,'[1]2025年已发货'!$C:$C,F5360,'[1]2025年已发货'!$G:$G,I5360,'[1]2025年已发货'!$H:$H,J5360))</f>
        <v>35</v>
      </c>
      <c r="I5360" s="157" t="str">
        <f>VLOOKUP(B5360,辅助信息!E:I,3,FALSE)</f>
        <v>(五冶钢构龙泉东洪片区70亩住宅、商业及配套工程项目一标段)成都市龙泉驿外东洪路地铁2号线惠王陵地铁C口</v>
      </c>
      <c r="J5360" s="121" t="str">
        <f>VLOOKUP(B5360,辅助信息!E:I,4,FALSE)</f>
        <v>邹爱国</v>
      </c>
      <c r="K5360" s="121">
        <f>VLOOKUP(J5360,辅助信息!H:I,2,FALSE)</f>
        <v>13540231225</v>
      </c>
      <c r="L5360" s="123">
        <f>VLOOKUP(B5360,辅助信息!E:J,6,FALSE)</f>
        <v>0</v>
      </c>
      <c r="O5360" s="63" t="str">
        <f ca="1" t="shared" si="252"/>
        <v/>
      </c>
      <c r="P5360" s="63"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7" t="s">
        <v>224</v>
      </c>
      <c r="C5361" s="71">
        <v>45968</v>
      </c>
      <c r="D5361" s="121" t="str">
        <f>VLOOKUP(B5361,辅助信息!E:K,7,FALSE)</f>
        <v>JWDDCD2025092400188</v>
      </c>
      <c r="E5361" s="121" t="str">
        <f>VLOOKUP(F5361,辅助信息!A:B,2,FALSE)</f>
        <v>螺纹钢</v>
      </c>
      <c r="F5361" s="121" t="s">
        <v>32</v>
      </c>
      <c r="G5361" s="122">
        <v>10</v>
      </c>
      <c r="H5361" s="135">
        <f>IF(SUMIFS('[1]2025年已发货'!$E:$E,'[1]2025年已发货'!$F:$F,C5361,'[1]2025年已发货'!$C:$C,F5361,'[1]2025年已发货'!$G:$G,I5361,'[1]2025年已发货'!$H:$H,J5361)=0,"未发货",SUMIFS('[1]2025年已发货'!$E:$E,'[1]2025年已发货'!$F:$F,C5361,'[1]2025年已发货'!$C:$C,F5361,'[1]2025年已发货'!$G:$G,I5361,'[1]2025年已发货'!$H:$H,J5361))</f>
        <v>10</v>
      </c>
      <c r="I5361" s="157" t="str">
        <f>VLOOKUP(B5361,辅助信息!E:I,3,FALSE)</f>
        <v>(五冶钢构龙泉东洪片区70亩住宅、商业及配套工程项目一标段)成都市龙泉驿外东洪路地铁2号线惠王陵地铁C口</v>
      </c>
      <c r="J5361" s="121" t="str">
        <f>VLOOKUP(B5361,辅助信息!E:I,4,FALSE)</f>
        <v>邹爱国</v>
      </c>
      <c r="K5361" s="121">
        <f>VLOOKUP(J5361,辅助信息!H:I,2,FALSE)</f>
        <v>13540231225</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7" t="s">
        <v>224</v>
      </c>
      <c r="C5362" s="71">
        <v>45968</v>
      </c>
      <c r="D5362" s="121" t="str">
        <f>VLOOKUP(B5362,辅助信息!E:K,7,FALSE)</f>
        <v>JWDDCD2025092400188</v>
      </c>
      <c r="E5362" s="121" t="str">
        <f>VLOOKUP(F5362,辅助信息!A:B,2,FALSE)</f>
        <v>螺纹钢</v>
      </c>
      <c r="F5362" s="121" t="s">
        <v>30</v>
      </c>
      <c r="G5362" s="122">
        <v>5</v>
      </c>
      <c r="H5362" s="135">
        <f>IF(SUMIFS('[1]2025年已发货'!$E:$E,'[1]2025年已发货'!$F:$F,C5362,'[1]2025年已发货'!$C:$C,F5362,'[1]2025年已发货'!$G:$G,I5362,'[1]2025年已发货'!$H:$H,J5362)=0,"未发货",SUMIFS('[1]2025年已发货'!$E:$E,'[1]2025年已发货'!$F:$F,C5362,'[1]2025年已发货'!$C:$C,F5362,'[1]2025年已发货'!$G:$G,I5362,'[1]2025年已发货'!$H:$H,J5362))</f>
        <v>5</v>
      </c>
      <c r="I5362" s="157" t="str">
        <f>VLOOKUP(B5362,辅助信息!E:I,3,FALSE)</f>
        <v>(五冶钢构龙泉东洪片区70亩住宅、商业及配套工程项目一标段)成都市龙泉驿外东洪路地铁2号线惠王陵地铁C口</v>
      </c>
      <c r="J5362" s="121" t="str">
        <f>VLOOKUP(B5362,辅助信息!E:I,4,FALSE)</f>
        <v>邹爱国</v>
      </c>
      <c r="K5362" s="121">
        <f>VLOOKUP(J5362,辅助信息!H:I,2,FALSE)</f>
        <v>13540231225</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7" t="s">
        <v>224</v>
      </c>
      <c r="C5363" s="71">
        <v>45968</v>
      </c>
      <c r="D5363" s="121" t="str">
        <f>VLOOKUP(B5363,辅助信息!E:K,7,FALSE)</f>
        <v>JWDDCD2025092400188</v>
      </c>
      <c r="E5363" s="121" t="str">
        <f>VLOOKUP(F5363,辅助信息!A:B,2,FALSE)</f>
        <v>螺纹钢</v>
      </c>
      <c r="F5363" s="121" t="s">
        <v>33</v>
      </c>
      <c r="G5363" s="122">
        <v>10</v>
      </c>
      <c r="H5363" s="135">
        <f>IF(SUMIFS('[1]2025年已发货'!$E:$E,'[1]2025年已发货'!$F:$F,C5363,'[1]2025年已发货'!$C:$C,F5363,'[1]2025年已发货'!$G:$G,I5363,'[1]2025年已发货'!$H:$H,J5363)=0,"未发货",SUMIFS('[1]2025年已发货'!$E:$E,'[1]2025年已发货'!$F:$F,C5363,'[1]2025年已发货'!$C:$C,F5363,'[1]2025年已发货'!$G:$G,I5363,'[1]2025年已发货'!$H:$H,J5363))</f>
        <v>10</v>
      </c>
      <c r="I5363" s="157" t="str">
        <f>VLOOKUP(B5363,辅助信息!E:I,3,FALSE)</f>
        <v>(五冶钢构龙泉东洪片区70亩住宅、商业及配套工程项目一标段)成都市龙泉驿外东洪路地铁2号线惠王陵地铁C口</v>
      </c>
      <c r="J5363" s="121" t="str">
        <f>VLOOKUP(B5363,辅助信息!E:I,4,FALSE)</f>
        <v>邹爱国</v>
      </c>
      <c r="K5363" s="121">
        <f>VLOOKUP(J5363,辅助信息!H:I,2,FALSE)</f>
        <v>13540231225</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7" t="s">
        <v>224</v>
      </c>
      <c r="C5364" s="71">
        <v>45968</v>
      </c>
      <c r="D5364" s="121" t="str">
        <f>VLOOKUP(B5364,辅助信息!E:K,7,FALSE)</f>
        <v>JWDDCD2025092400188</v>
      </c>
      <c r="E5364" s="121" t="str">
        <f>VLOOKUP(F5364,辅助信息!A:B,2,FALSE)</f>
        <v>螺纹钢</v>
      </c>
      <c r="F5364" s="121" t="s">
        <v>28</v>
      </c>
      <c r="G5364" s="122">
        <v>8</v>
      </c>
      <c r="H5364" s="135">
        <f>IF(SUMIFS('[1]2025年已发货'!$E:$E,'[1]2025年已发货'!$F:$F,C5364,'[1]2025年已发货'!$C:$C,F5364,'[1]2025年已发货'!$G:$G,I5364,'[1]2025年已发货'!$H:$H,J5364)=0,"未发货",SUMIFS('[1]2025年已发货'!$E:$E,'[1]2025年已发货'!$F:$F,C5364,'[1]2025年已发货'!$C:$C,F5364,'[1]2025年已发货'!$G:$G,I5364,'[1]2025年已发货'!$H:$H,J5364))</f>
        <v>8</v>
      </c>
      <c r="I5364" s="157" t="str">
        <f>VLOOKUP(B5364,辅助信息!E:I,3,FALSE)</f>
        <v>(五冶钢构龙泉东洪片区70亩住宅、商业及配套工程项目一标段)成都市龙泉驿外东洪路地铁2号线惠王陵地铁C口</v>
      </c>
      <c r="J5364" s="121" t="str">
        <f>VLOOKUP(B5364,辅助信息!E:I,4,FALSE)</f>
        <v>邹爱国</v>
      </c>
      <c r="K5364" s="121">
        <f>VLOOKUP(J5364,辅助信息!H:I,2,FALSE)</f>
        <v>13540231225</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7" t="s">
        <v>224</v>
      </c>
      <c r="C5365" s="71">
        <v>45968</v>
      </c>
      <c r="D5365" s="121" t="str">
        <f>VLOOKUP(B5365,辅助信息!E:K,7,FALSE)</f>
        <v>JWDDCD2025092400188</v>
      </c>
      <c r="E5365" s="121" t="str">
        <f>VLOOKUP(F5365,辅助信息!A:B,2,FALSE)</f>
        <v>螺纹钢</v>
      </c>
      <c r="F5365" s="121" t="s">
        <v>18</v>
      </c>
      <c r="G5365" s="122">
        <v>5</v>
      </c>
      <c r="H5365" s="135">
        <f>IF(SUMIFS('[1]2025年已发货'!$E:$E,'[1]2025年已发货'!$F:$F,C5365,'[1]2025年已发货'!$C:$C,F5365,'[1]2025年已发货'!$G:$G,I5365,'[1]2025年已发货'!$H:$H,J5365)=0,"未发货",SUMIFS('[1]2025年已发货'!$E:$E,'[1]2025年已发货'!$F:$F,C5365,'[1]2025年已发货'!$C:$C,F5365,'[1]2025年已发货'!$G:$G,I5365,'[1]2025年已发货'!$H:$H,J5365))</f>
        <v>5</v>
      </c>
      <c r="I5365" s="157" t="str">
        <f>VLOOKUP(B5365,辅助信息!E:I,3,FALSE)</f>
        <v>(五冶钢构龙泉东洪片区70亩住宅、商业及配套工程项目一标段)成都市龙泉驿外东洪路地铁2号线惠王陵地铁C口</v>
      </c>
      <c r="J5365" s="121" t="str">
        <f>VLOOKUP(B5365,辅助信息!E:I,4,FALSE)</f>
        <v>邹爱国</v>
      </c>
      <c r="K5365" s="121">
        <f>VLOOKUP(J5365,辅助信息!H:I,2,FALSE)</f>
        <v>13540231225</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7" t="s">
        <v>229</v>
      </c>
      <c r="C5366" s="71">
        <v>45968</v>
      </c>
      <c r="D5366" s="121" t="str">
        <f>VLOOKUP(B5366,辅助信息!E:K,7,FALSE)</f>
        <v>JWDDCD2025092400212</v>
      </c>
      <c r="E5366" s="121" t="str">
        <f>VLOOKUP(F5366,辅助信息!A:B,2,FALSE)</f>
        <v>高线</v>
      </c>
      <c r="F5366" s="121" t="s">
        <v>57</v>
      </c>
      <c r="G5366" s="122">
        <v>2</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(五冶钢构龙泉东洪片区85亩住宅、商业及配套工程项目三标段)成都市龙泉驿外东洪路地铁2号线惠王陵地铁C口</v>
      </c>
      <c r="J5366" s="121" t="str">
        <f>VLOOKUP(B5366,辅助信息!E:I,4,FALSE)</f>
        <v>王军宝</v>
      </c>
      <c r="K5366" s="121">
        <f>VLOOKUP(J5366,辅助信息!H:I,2,FALSE)</f>
        <v>13889142392</v>
      </c>
      <c r="L5366" s="123">
        <f>VLOOKUP(B5366,辅助信息!E:J,6,FALSE)</f>
        <v>0</v>
      </c>
      <c r="O5366" s="63" t="str">
        <f ca="1" t="shared" si="252"/>
        <v/>
      </c>
      <c r="P5366" s="63"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7" t="s">
        <v>229</v>
      </c>
      <c r="C5367" s="71">
        <v>45968</v>
      </c>
      <c r="D5367" s="121" t="str">
        <f>VLOOKUP(B5367,辅助信息!E:K,7,FALSE)</f>
        <v>JWDDCD2025092400212</v>
      </c>
      <c r="E5367" s="121" t="str">
        <f>VLOOKUP(F5367,辅助信息!A:B,2,FALSE)</f>
        <v>高线</v>
      </c>
      <c r="F5367" s="121" t="s">
        <v>53</v>
      </c>
      <c r="G5367" s="122">
        <v>2</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(五冶钢构龙泉东洪片区85亩住宅、商业及配套工程项目三标段)成都市龙泉驿外东洪路地铁2号线惠王陵地铁C口</v>
      </c>
      <c r="J5367" s="121" t="str">
        <f>VLOOKUP(B5367,辅助信息!E:I,4,FALSE)</f>
        <v>王军宝</v>
      </c>
      <c r="K5367" s="121">
        <f>VLOOKUP(J5367,辅助信息!H:I,2,FALSE)</f>
        <v>13889142392</v>
      </c>
      <c r="L5367" s="123">
        <f>VLOOKUP(B5367,辅助信息!E:J,6,FALSE)</f>
        <v>0</v>
      </c>
      <c r="O5367" s="63" t="str">
        <f ca="1" t="shared" si="252"/>
        <v/>
      </c>
      <c r="P5367" s="63"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7" t="s">
        <v>229</v>
      </c>
      <c r="C5368" s="71">
        <v>45968</v>
      </c>
      <c r="D5368" s="121" t="str">
        <f>VLOOKUP(B5368,辅助信息!E:K,7,FALSE)</f>
        <v>JWDDCD2025092400212</v>
      </c>
      <c r="E5368" s="121" t="str">
        <f>VLOOKUP(F5368,辅助信息!A:B,2,FALSE)</f>
        <v>盘螺</v>
      </c>
      <c r="F5368" s="121" t="s">
        <v>41</v>
      </c>
      <c r="G5368" s="122">
        <v>35</v>
      </c>
      <c r="H5368" s="135">
        <f>IF(SUMIFS('[1]2025年已发货'!$E:$E,'[1]2025年已发货'!$F:$F,C5368,'[1]2025年已发货'!$C:$C,F5368,'[1]2025年已发货'!$G:$G,I5368,'[1]2025年已发货'!$H:$H,J5368)=0,"未发货",SUMIFS('[1]2025年已发货'!$E:$E,'[1]2025年已发货'!$F:$F,C5368,'[1]2025年已发货'!$C:$C,F5368,'[1]2025年已发货'!$G:$G,I5368,'[1]2025年已发货'!$H:$H,J5368))</f>
        <v>35</v>
      </c>
      <c r="I5368" s="157" t="str">
        <f>VLOOKUP(B5368,辅助信息!E:I,3,FALSE)</f>
        <v>(五冶钢构龙泉东洪片区85亩住宅、商业及配套工程项目三标段)成都市龙泉驿外东洪路地铁2号线惠王陵地铁C口</v>
      </c>
      <c r="J5368" s="121" t="str">
        <f>VLOOKUP(B5368,辅助信息!E:I,4,FALSE)</f>
        <v>王军宝</v>
      </c>
      <c r="K5368" s="121">
        <f>VLOOKUP(J5368,辅助信息!H:I,2,FALSE)</f>
        <v>13889142392</v>
      </c>
      <c r="L5368" s="123">
        <f>VLOOKUP(B5368,辅助信息!E:J,6,FALSE)</f>
        <v>0</v>
      </c>
      <c r="O5368" s="63" t="str">
        <f ca="1" t="shared" si="252"/>
        <v/>
      </c>
      <c r="P5368" s="63"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7" t="s">
        <v>229</v>
      </c>
      <c r="C5369" s="71">
        <v>45968</v>
      </c>
      <c r="D5369" s="121" t="str">
        <f>VLOOKUP(B5369,辅助信息!E:K,7,FALSE)</f>
        <v>JWDDCD2025092400212</v>
      </c>
      <c r="E5369" s="121" t="str">
        <f>VLOOKUP(F5369,辅助信息!A:B,2,FALSE)</f>
        <v>螺纹钢</v>
      </c>
      <c r="F5369" s="121" t="s">
        <v>27</v>
      </c>
      <c r="G5369" s="122">
        <v>52</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(五冶钢构龙泉东洪片区85亩住宅、商业及配套工程项目三标段)成都市龙泉驿外东洪路地铁2号线惠王陵地铁C口</v>
      </c>
      <c r="J5369" s="121" t="str">
        <f>VLOOKUP(B5369,辅助信息!E:I,4,FALSE)</f>
        <v>王军宝</v>
      </c>
      <c r="K5369" s="121">
        <f>VLOOKUP(J5369,辅助信息!H:I,2,FALSE)</f>
        <v>13889142392</v>
      </c>
      <c r="L5369" s="123">
        <f>VLOOKUP(B5369,辅助信息!E:J,6,FALSE)</f>
        <v>0</v>
      </c>
      <c r="O5369" s="63" t="str">
        <f ca="1" t="shared" si="252"/>
        <v/>
      </c>
      <c r="P5369" s="63"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7" t="s">
        <v>229</v>
      </c>
      <c r="C5370" s="71">
        <v>45968</v>
      </c>
      <c r="D5370" s="121" t="str">
        <f>VLOOKUP(B5370,辅助信息!E:K,7,FALSE)</f>
        <v>JWDDCD2025092400212</v>
      </c>
      <c r="E5370" s="121" t="str">
        <f>VLOOKUP(F5370,辅助信息!A:B,2,FALSE)</f>
        <v>螺纹钢</v>
      </c>
      <c r="F5370" s="121" t="s">
        <v>19</v>
      </c>
      <c r="G5370" s="122">
        <v>35</v>
      </c>
      <c r="H5370" s="135">
        <f>IF(SUMIFS('[1]2025年已发货'!$E:$E,'[1]2025年已发货'!$F:$F,C5370,'[1]2025年已发货'!$C:$C,F5370,'[1]2025年已发货'!$G:$G,I5370,'[1]2025年已发货'!$H:$H,J5370)=0,"未发货",SUMIFS('[1]2025年已发货'!$E:$E,'[1]2025年已发货'!$F:$F,C5370,'[1]2025年已发货'!$C:$C,F5370,'[1]2025年已发货'!$G:$G,I5370,'[1]2025年已发货'!$H:$H,J5370))</f>
        <v>35</v>
      </c>
      <c r="I5370" s="157" t="str">
        <f>VLOOKUP(B5370,辅助信息!E:I,3,FALSE)</f>
        <v>(五冶钢构龙泉东洪片区85亩住宅、商业及配套工程项目三标段)成都市龙泉驿外东洪路地铁2号线惠王陵地铁C口</v>
      </c>
      <c r="J5370" s="121" t="str">
        <f>VLOOKUP(B5370,辅助信息!E:I,4,FALSE)</f>
        <v>王军宝</v>
      </c>
      <c r="K5370" s="121">
        <f>VLOOKUP(J5370,辅助信息!H:I,2,FALSE)</f>
        <v>13889142392</v>
      </c>
      <c r="L5370" s="123">
        <f>VLOOKUP(B5370,辅助信息!E:J,6,FALSE)</f>
        <v>0</v>
      </c>
      <c r="O5370" s="63" t="str">
        <f ca="1" t="shared" si="252"/>
        <v/>
      </c>
      <c r="P5370" s="63"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7" t="s">
        <v>229</v>
      </c>
      <c r="C5371" s="71">
        <v>45968</v>
      </c>
      <c r="D5371" s="121" t="str">
        <f>VLOOKUP(B5371,辅助信息!E:K,7,FALSE)</f>
        <v>JWDDCD2025092400212</v>
      </c>
      <c r="E5371" s="121" t="str">
        <f>VLOOKUP(F5371,辅助信息!A:B,2,FALSE)</f>
        <v>螺纹钢</v>
      </c>
      <c r="F5371" s="121" t="s">
        <v>32</v>
      </c>
      <c r="G5371" s="122">
        <v>10</v>
      </c>
      <c r="H5371" s="135">
        <f>IF(SUMIFS('[1]2025年已发货'!$E:$E,'[1]2025年已发货'!$F:$F,C5371,'[1]2025年已发货'!$C:$C,F5371,'[1]2025年已发货'!$G:$G,I5371,'[1]2025年已发货'!$H:$H,J5371)=0,"未发货",SUMIFS('[1]2025年已发货'!$E:$E,'[1]2025年已发货'!$F:$F,C5371,'[1]2025年已发货'!$C:$C,F5371,'[1]2025年已发货'!$G:$G,I5371,'[1]2025年已发货'!$H:$H,J5371))</f>
        <v>9</v>
      </c>
      <c r="I5371" s="157" t="str">
        <f>VLOOKUP(B5371,辅助信息!E:I,3,FALSE)</f>
        <v>(五冶钢构龙泉东洪片区85亩住宅、商业及配套工程项目三标段)成都市龙泉驿外东洪路地铁2号线惠王陵地铁C口</v>
      </c>
      <c r="J5371" s="121" t="str">
        <f>VLOOKUP(B5371,辅助信息!E:I,4,FALSE)</f>
        <v>王军宝</v>
      </c>
      <c r="K5371" s="121">
        <f>VLOOKUP(J5371,辅助信息!H:I,2,FALSE)</f>
        <v>13889142392</v>
      </c>
      <c r="L5371" s="123">
        <f>VLOOKUP(B5371,辅助信息!E:J,6,FALSE)</f>
        <v>0</v>
      </c>
      <c r="O5371" s="63" t="str">
        <f ca="1" t="shared" si="252"/>
        <v/>
      </c>
      <c r="P5371" s="63"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7" t="s">
        <v>229</v>
      </c>
      <c r="C5372" s="71">
        <v>45968</v>
      </c>
      <c r="D5372" s="121" t="str">
        <f>VLOOKUP(B5372,辅助信息!E:K,7,FALSE)</f>
        <v>JWDDCD2025092400212</v>
      </c>
      <c r="E5372" s="121" t="str">
        <f>VLOOKUP(F5372,辅助信息!A:B,2,FALSE)</f>
        <v>螺纹钢</v>
      </c>
      <c r="F5372" s="121" t="s">
        <v>30</v>
      </c>
      <c r="G5372" s="122">
        <v>11</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(五冶钢构龙泉东洪片区85亩住宅、商业及配套工程项目三标段)成都市龙泉驿外东洪路地铁2号线惠王陵地铁C口</v>
      </c>
      <c r="J5372" s="121" t="str">
        <f>VLOOKUP(B5372,辅助信息!E:I,4,FALSE)</f>
        <v>王军宝</v>
      </c>
      <c r="K5372" s="121">
        <f>VLOOKUP(J5372,辅助信息!H:I,2,FALSE)</f>
        <v>13889142392</v>
      </c>
      <c r="L5372" s="123">
        <f>VLOOKUP(B5372,辅助信息!E:J,6,FALSE)</f>
        <v>0</v>
      </c>
      <c r="O5372" s="63" t="str">
        <f ca="1" t="shared" si="252"/>
        <v/>
      </c>
      <c r="P5372" s="63"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7" t="s">
        <v>229</v>
      </c>
      <c r="C5373" s="71">
        <v>45968</v>
      </c>
      <c r="D5373" s="121" t="str">
        <f>VLOOKUP(B5373,辅助信息!E:K,7,FALSE)</f>
        <v>JWDDCD2025092400212</v>
      </c>
      <c r="E5373" s="121" t="str">
        <f>VLOOKUP(F5373,辅助信息!A:B,2,FALSE)</f>
        <v>螺纹钢</v>
      </c>
      <c r="F5373" s="121" t="s">
        <v>33</v>
      </c>
      <c r="G5373" s="122">
        <v>8</v>
      </c>
      <c r="H5373" s="135">
        <f>IF(SUMIFS('[1]2025年已发货'!$E:$E,'[1]2025年已发货'!$F:$F,C5373,'[1]2025年已发货'!$C:$C,F5373,'[1]2025年已发货'!$G:$G,I5373,'[1]2025年已发货'!$H:$H,J5373)=0,"未发货",SUMIFS('[1]2025年已发货'!$E:$E,'[1]2025年已发货'!$F:$F,C5373,'[1]2025年已发货'!$C:$C,F5373,'[1]2025年已发货'!$G:$G,I5373,'[1]2025年已发货'!$H:$H,J5373))</f>
        <v>9</v>
      </c>
      <c r="I5373" s="157" t="str">
        <f>VLOOKUP(B5373,辅助信息!E:I,3,FALSE)</f>
        <v>(五冶钢构龙泉东洪片区85亩住宅、商业及配套工程项目三标段)成都市龙泉驿外东洪路地铁2号线惠王陵地铁C口</v>
      </c>
      <c r="J5373" s="121" t="str">
        <f>VLOOKUP(B5373,辅助信息!E:I,4,FALSE)</f>
        <v>王军宝</v>
      </c>
      <c r="K5373" s="121">
        <f>VLOOKUP(J5373,辅助信息!H:I,2,FALSE)</f>
        <v>13889142392</v>
      </c>
      <c r="L5373" s="123">
        <f>VLOOKUP(B5373,辅助信息!E:J,6,FALSE)</f>
        <v>0</v>
      </c>
      <c r="O5373" s="63" t="str">
        <f ca="1" t="shared" si="252"/>
        <v/>
      </c>
      <c r="P5373" s="63"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7" t="s">
        <v>229</v>
      </c>
      <c r="C5374" s="71">
        <v>45968</v>
      </c>
      <c r="D5374" s="121" t="str">
        <f>VLOOKUP(B5374,辅助信息!E:K,7,FALSE)</f>
        <v>JWDDCD2025092400212</v>
      </c>
      <c r="E5374" s="121" t="str">
        <f>VLOOKUP(F5374,辅助信息!A:B,2,FALSE)</f>
        <v>螺纹钢</v>
      </c>
      <c r="F5374" s="121" t="s">
        <v>28</v>
      </c>
      <c r="G5374" s="122">
        <v>16</v>
      </c>
      <c r="H5374" s="135">
        <f>IF(SUMIFS('[1]2025年已发货'!$E:$E,'[1]2025年已发货'!$F:$F,C5374,'[1]2025年已发货'!$C:$C,F5374,'[1]2025年已发货'!$G:$G,I5374,'[1]2025年已发货'!$H:$H,J5374)=0,"未发货",SUMIFS('[1]2025年已发货'!$E:$E,'[1]2025年已发货'!$F:$F,C5374,'[1]2025年已发货'!$C:$C,F5374,'[1]2025年已发货'!$G:$G,I5374,'[1]2025年已发货'!$H:$H,J5374))</f>
        <v>12</v>
      </c>
      <c r="I5374" s="157" t="str">
        <f>VLOOKUP(B5374,辅助信息!E:I,3,FALSE)</f>
        <v>(五冶钢构龙泉东洪片区85亩住宅、商业及配套工程项目三标段)成都市龙泉驿外东洪路地铁2号线惠王陵地铁C口</v>
      </c>
      <c r="J5374" s="121" t="str">
        <f>VLOOKUP(B5374,辅助信息!E:I,4,FALSE)</f>
        <v>王军宝</v>
      </c>
      <c r="K5374" s="121">
        <f>VLOOKUP(J5374,辅助信息!H:I,2,FALSE)</f>
        <v>13889142392</v>
      </c>
      <c r="L5374" s="123">
        <f>VLOOKUP(B5374,辅助信息!E:J,6,FALSE)</f>
        <v>0</v>
      </c>
      <c r="O5374" s="63" t="str">
        <f ca="1" t="shared" si="252"/>
        <v/>
      </c>
      <c r="P5374" s="63"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6" t="s">
        <v>229</v>
      </c>
      <c r="C5375" s="71">
        <v>45968</v>
      </c>
      <c r="D5375" s="40" t="str">
        <f>VLOOKUP(B5375,辅助信息!E:K,7,FALSE)</f>
        <v>JWDDCD2025092400212</v>
      </c>
      <c r="E5375" s="40" t="str">
        <f>VLOOKUP(F5375,辅助信息!A:B,2,FALSE)</f>
        <v>螺纹钢</v>
      </c>
      <c r="F5375" s="40" t="s">
        <v>18</v>
      </c>
      <c r="G5375" s="36">
        <v>10</v>
      </c>
      <c r="H5375" s="135">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0">
        <f>VLOOKUP(B5375,辅助信息!E:J,6,FALSE)</f>
        <v>0</v>
      </c>
      <c r="O5375" s="63" t="str">
        <f ca="1" t="shared" si="252"/>
        <v/>
      </c>
      <c r="P5375" s="63"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6" t="s">
        <v>229</v>
      </c>
      <c r="C5376" s="71">
        <v>45968</v>
      </c>
      <c r="D5376" s="40" t="str">
        <f>VLOOKUP(B5376,辅助信息!E:K,7,FALSE)</f>
        <v>JWDDCD2025092400212</v>
      </c>
      <c r="E5376" s="40" t="str">
        <f>VLOOKUP(F5376,辅助信息!A:B,2,FALSE)</f>
        <v>盘螺</v>
      </c>
      <c r="F5376" s="40" t="s">
        <v>49</v>
      </c>
      <c r="G5376" s="36">
        <v>8</v>
      </c>
      <c r="H5376" s="135"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6" t="s">
        <v>229</v>
      </c>
      <c r="C5377" s="71">
        <v>45968</v>
      </c>
      <c r="D5377" s="40" t="str">
        <f>VLOOKUP(B5377,辅助信息!E:K,7,FALSE)</f>
        <v>JWDDCD2025092400212</v>
      </c>
      <c r="E5377" s="40" t="str">
        <f>VLOOKUP(F5377,辅助信息!A:B,2,FALSE)</f>
        <v>螺纹钢</v>
      </c>
      <c r="F5377" s="40" t="s">
        <v>46</v>
      </c>
      <c r="G5377" s="36">
        <v>9</v>
      </c>
      <c r="H5377" s="135"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6" t="s">
        <v>225</v>
      </c>
      <c r="C5378" s="71">
        <v>45968</v>
      </c>
      <c r="D5378" s="40" t="str">
        <f>VLOOKUP(B5378,辅助信息!E:K,7,FALSE)</f>
        <v>JWDDCD2025092400210</v>
      </c>
      <c r="E5378" s="40" t="str">
        <f>VLOOKUP(F5378,辅助信息!A:B,2,FALSE)</f>
        <v>盘螺</v>
      </c>
      <c r="F5378" s="40" t="s">
        <v>41</v>
      </c>
      <c r="G5378" s="36">
        <v>15</v>
      </c>
      <c r="H5378" s="135"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6" t="s">
        <v>225</v>
      </c>
      <c r="C5379" s="71">
        <v>45968</v>
      </c>
      <c r="D5379" s="40" t="str">
        <f>VLOOKUP(B5379,辅助信息!E:K,7,FALSE)</f>
        <v>JWDDCD2025092400210</v>
      </c>
      <c r="E5379" s="40" t="str">
        <f>VLOOKUP(F5379,辅助信息!A:B,2,FALSE)</f>
        <v>螺纹钢</v>
      </c>
      <c r="F5379" s="40" t="s">
        <v>27</v>
      </c>
      <c r="G5379" s="36">
        <v>25</v>
      </c>
      <c r="H5379" s="135"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6" t="s">
        <v>225</v>
      </c>
      <c r="C5380" s="71">
        <v>45968</v>
      </c>
      <c r="D5380" s="40" t="str">
        <f>VLOOKUP(B5380,辅助信息!E:K,7,FALSE)</f>
        <v>JWDDCD2025092400210</v>
      </c>
      <c r="E5380" s="40" t="str">
        <f>VLOOKUP(F5380,辅助信息!A:B,2,FALSE)</f>
        <v>螺纹钢</v>
      </c>
      <c r="F5380" s="40" t="s">
        <v>19</v>
      </c>
      <c r="G5380" s="36">
        <v>13</v>
      </c>
      <c r="H5380" s="135"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6" t="s">
        <v>225</v>
      </c>
      <c r="C5381" s="71">
        <v>45968</v>
      </c>
      <c r="D5381" s="40" t="str">
        <f>VLOOKUP(B5381,辅助信息!E:K,7,FALSE)</f>
        <v>JWDDCD2025092400210</v>
      </c>
      <c r="E5381" s="40" t="str">
        <f>VLOOKUP(F5381,辅助信息!A:B,2,FALSE)</f>
        <v>螺纹钢</v>
      </c>
      <c r="F5381" s="40" t="s">
        <v>32</v>
      </c>
      <c r="G5381" s="36">
        <v>10</v>
      </c>
      <c r="H5381" s="135"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6" t="s">
        <v>225</v>
      </c>
      <c r="C5382" s="71">
        <v>45968</v>
      </c>
      <c r="D5382" s="40" t="str">
        <f>VLOOKUP(B5382,辅助信息!E:K,7,FALSE)</f>
        <v>JWDDCD2025092400210</v>
      </c>
      <c r="E5382" s="40" t="str">
        <f>VLOOKUP(F5382,辅助信息!A:B,2,FALSE)</f>
        <v>螺纹钢</v>
      </c>
      <c r="F5382" s="40" t="s">
        <v>30</v>
      </c>
      <c r="G5382" s="36">
        <v>20</v>
      </c>
      <c r="H5382" s="135"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6" t="s">
        <v>225</v>
      </c>
      <c r="C5383" s="71">
        <v>45968</v>
      </c>
      <c r="D5383" s="40" t="str">
        <f>VLOOKUP(B5383,辅助信息!E:K,7,FALSE)</f>
        <v>JWDDCD2025092400210</v>
      </c>
      <c r="E5383" s="40" t="str">
        <f>VLOOKUP(F5383,辅助信息!A:B,2,FALSE)</f>
        <v>螺纹钢</v>
      </c>
      <c r="F5383" s="40" t="s">
        <v>33</v>
      </c>
      <c r="G5383" s="36">
        <v>12</v>
      </c>
      <c r="H5383" s="135"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6" t="s">
        <v>225</v>
      </c>
      <c r="C5384" s="71">
        <v>45968</v>
      </c>
      <c r="D5384" s="40" t="str">
        <f>VLOOKUP(B5384,辅助信息!E:K,7,FALSE)</f>
        <v>JWDDCD2025092400210</v>
      </c>
      <c r="E5384" s="40" t="str">
        <f>VLOOKUP(F5384,辅助信息!A:B,2,FALSE)</f>
        <v>螺纹钢</v>
      </c>
      <c r="F5384" s="40" t="s">
        <v>28</v>
      </c>
      <c r="G5384" s="36">
        <v>12</v>
      </c>
      <c r="H5384" s="135"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6" t="s">
        <v>225</v>
      </c>
      <c r="C5385" s="71">
        <v>45968</v>
      </c>
      <c r="D5385" s="40" t="str">
        <f>VLOOKUP(B5385,辅助信息!E:K,7,FALSE)</f>
        <v>JWDDCD2025092400210</v>
      </c>
      <c r="E5385" s="40" t="str">
        <f>VLOOKUP(F5385,辅助信息!A:B,2,FALSE)</f>
        <v>盘螺</v>
      </c>
      <c r="F5385" s="40" t="s">
        <v>40</v>
      </c>
      <c r="G5385" s="36">
        <v>60</v>
      </c>
      <c r="H5385" s="135"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6" t="s">
        <v>225</v>
      </c>
      <c r="C5386" s="71">
        <v>45968</v>
      </c>
      <c r="D5386" s="40" t="str">
        <f>VLOOKUP(B5386,辅助信息!E:K,7,FALSE)</f>
        <v>JWDDCD2025092400210</v>
      </c>
      <c r="E5386" s="40" t="str">
        <f>VLOOKUP(F5386,辅助信息!A:B,2,FALSE)</f>
        <v>螺纹钢</v>
      </c>
      <c r="F5386" s="40" t="s">
        <v>46</v>
      </c>
      <c r="G5386" s="36">
        <v>8</v>
      </c>
      <c r="H5386" s="135"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6" t="s">
        <v>208</v>
      </c>
      <c r="C5387" s="71">
        <v>45968</v>
      </c>
      <c r="D5387" s="40" t="str">
        <f>VLOOKUP(B5387,辅助信息!E:K,7,FALSE)</f>
        <v>JWDDCD2025102100480</v>
      </c>
      <c r="E5387" s="40" t="str">
        <f>VLOOKUP(F5387,辅助信息!A:B,2,FALSE)</f>
        <v>高线</v>
      </c>
      <c r="F5387" s="40" t="s">
        <v>57</v>
      </c>
      <c r="G5387" s="36">
        <v>2.5</v>
      </c>
      <c r="H5387" s="135">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0" t="str">
        <f>VLOOKUP(B5387,辅助信息!E:J,6,FALSE)</f>
        <v>联系实际收货人（陶杰13980247952）五冶建设送货单,6份材质书,锈货不收，装货前联系收货人核实到场规格,没提前告知进场规格现场不给予接收</v>
      </c>
      <c r="O5387" s="63" t="str">
        <f ca="1" t="shared" si="252"/>
        <v/>
      </c>
      <c r="P5387" s="63"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6" t="s">
        <v>208</v>
      </c>
      <c r="C5388" s="71">
        <v>45968</v>
      </c>
      <c r="D5388" s="40" t="str">
        <f>VLOOKUP(B5388,辅助信息!E:K,7,FALSE)</f>
        <v>JWDDCD2025102100480</v>
      </c>
      <c r="E5388" s="40" t="str">
        <f>VLOOKUP(F5388,辅助信息!A:B,2,FALSE)</f>
        <v>高线</v>
      </c>
      <c r="F5388" s="40" t="s">
        <v>53</v>
      </c>
      <c r="G5388" s="36">
        <v>7.5</v>
      </c>
      <c r="H5388" s="135">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0" t="str">
        <f>VLOOKUP(B5388,辅助信息!E:J,6,FALSE)</f>
        <v>联系实际收货人（陶杰13980247952）五冶建设送货单,6份材质书,锈货不收，装货前联系收货人核实到场规格,没提前告知进场规格现场不给予接收</v>
      </c>
      <c r="O5388" s="63" t="str">
        <f ca="1" t="shared" si="252"/>
        <v/>
      </c>
      <c r="P5388" s="63"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6" t="s">
        <v>208</v>
      </c>
      <c r="C5389" s="71">
        <v>45968</v>
      </c>
      <c r="D5389" s="40" t="str">
        <f>VLOOKUP(B5389,辅助信息!E:K,7,FALSE)</f>
        <v>JWDDCD2025102100480</v>
      </c>
      <c r="E5389" s="40" t="str">
        <f>VLOOKUP(F5389,辅助信息!A:B,2,FALSE)</f>
        <v>盘螺</v>
      </c>
      <c r="F5389" s="40" t="s">
        <v>41</v>
      </c>
      <c r="G5389" s="36">
        <v>10</v>
      </c>
      <c r="H5389" s="135">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0" t="str">
        <f>VLOOKUP(B5389,辅助信息!E:J,6,FALSE)</f>
        <v>联系实际收货人（陶杰13980247952）五冶建设送货单,6份材质书,锈货不收，装货前联系收货人核实到场规格,没提前告知进场规格现场不给予接收</v>
      </c>
      <c r="O5389" s="63" t="str">
        <f ca="1" t="shared" si="252"/>
        <v/>
      </c>
      <c r="P5389" s="63"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6" t="s">
        <v>208</v>
      </c>
      <c r="C5390" s="71">
        <v>45968</v>
      </c>
      <c r="D5390" s="40" t="str">
        <f>VLOOKUP(B5390,辅助信息!E:K,7,FALSE)</f>
        <v>JWDDCD2025102100480</v>
      </c>
      <c r="E5390" s="40" t="str">
        <f>VLOOKUP(F5390,辅助信息!A:B,2,FALSE)</f>
        <v>盘螺</v>
      </c>
      <c r="F5390" s="40" t="s">
        <v>26</v>
      </c>
      <c r="G5390" s="36">
        <v>10</v>
      </c>
      <c r="H5390" s="135">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0" t="str">
        <f>VLOOKUP(B5390,辅助信息!E:J,6,FALSE)</f>
        <v>联系实际收货人（陶杰13980247952）五冶建设送货单,6份材质书,锈货不收，装货前联系收货人核实到场规格,没提前告知进场规格现场不给予接收</v>
      </c>
      <c r="O5390" s="63" t="str">
        <f ca="1" t="shared" si="252"/>
        <v/>
      </c>
      <c r="P5390" s="63"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6" t="s">
        <v>208</v>
      </c>
      <c r="C5391" s="71">
        <v>45968</v>
      </c>
      <c r="D5391" s="40" t="str">
        <f>VLOOKUP(B5391,辅助信息!E:K,7,FALSE)</f>
        <v>JWDDCD2025102100480</v>
      </c>
      <c r="E5391" s="40" t="str">
        <f>VLOOKUP(F5391,辅助信息!A:B,2,FALSE)</f>
        <v>螺纹钢</v>
      </c>
      <c r="F5391" s="40" t="s">
        <v>27</v>
      </c>
      <c r="G5391" s="36">
        <v>5</v>
      </c>
      <c r="H5391" s="135">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0" t="str">
        <f>VLOOKUP(B5391,辅助信息!E:J,6,FALSE)</f>
        <v>联系实际收货人（陶杰13980247952）五冶建设送货单,6份材质书,锈货不收，装货前联系收货人核实到场规格,没提前告知进场规格现场不给予接收</v>
      </c>
      <c r="O5391" s="63" t="str">
        <f ca="1" t="shared" si="252"/>
        <v/>
      </c>
      <c r="P5391" s="63"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6" t="s">
        <v>208</v>
      </c>
      <c r="C5392" s="71">
        <v>45968</v>
      </c>
      <c r="D5392" s="40" t="str">
        <f>VLOOKUP(B5392,辅助信息!E:K,7,FALSE)</f>
        <v>JWDDCD2025102100480</v>
      </c>
      <c r="E5392" s="40" t="str">
        <f>VLOOKUP(F5392,辅助信息!A:B,2,FALSE)</f>
        <v>螺纹钢</v>
      </c>
      <c r="F5392" s="40" t="s">
        <v>76</v>
      </c>
      <c r="G5392" s="36">
        <v>30</v>
      </c>
      <c r="H5392" s="135"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0" t="str">
        <f>VLOOKUP(B5392,辅助信息!E:J,6,FALSE)</f>
        <v>联系实际收货人（陶杰13980247952）五冶建设送货单,6份材质书,锈货不收，装货前联系收货人核实到场规格,没提前告知进场规格现场不给予接收</v>
      </c>
      <c r="O5392" s="63" t="str">
        <f ca="1" t="shared" si="252"/>
        <v/>
      </c>
      <c r="P5392" s="63"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6" t="s">
        <v>208</v>
      </c>
      <c r="C5393" s="71">
        <v>45968</v>
      </c>
      <c r="D5393" s="40" t="str">
        <f>VLOOKUP(B5393,辅助信息!E:K,7,FALSE)</f>
        <v>JWDDCD2025102100480</v>
      </c>
      <c r="E5393" s="40" t="str">
        <f>VLOOKUP(F5393,辅助信息!A:B,2,FALSE)</f>
        <v>螺纹钢</v>
      </c>
      <c r="F5393" s="40" t="s">
        <v>19</v>
      </c>
      <c r="G5393" s="36">
        <v>10</v>
      </c>
      <c r="H5393" s="135">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0" t="str">
        <f>VLOOKUP(B5393,辅助信息!E:J,6,FALSE)</f>
        <v>联系实际收货人（陶杰13980247952）五冶建设送货单,6份材质书,锈货不收，装货前联系收货人核实到场规格,没提前告知进场规格现场不给予接收</v>
      </c>
      <c r="O5393" s="63" t="str">
        <f ca="1" t="shared" si="252"/>
        <v/>
      </c>
      <c r="P5393" s="63"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6" t="s">
        <v>208</v>
      </c>
      <c r="C5394" s="71">
        <v>45968</v>
      </c>
      <c r="D5394" s="40" t="str">
        <f>VLOOKUP(B5394,辅助信息!E:K,7,FALSE)</f>
        <v>JWDDCD2025102100480</v>
      </c>
      <c r="E5394" s="40" t="str">
        <f>VLOOKUP(F5394,辅助信息!A:B,2,FALSE)</f>
        <v>螺纹钢</v>
      </c>
      <c r="F5394" s="40" t="s">
        <v>90</v>
      </c>
      <c r="G5394" s="36">
        <v>15</v>
      </c>
      <c r="H5394" s="135"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0" t="str">
        <f>VLOOKUP(B5394,辅助信息!E:J,6,FALSE)</f>
        <v>联系实际收货人（陶杰13980247952）五冶建设送货单,6份材质书,锈货不收，装货前联系收货人核实到场规格,没提前告知进场规格现场不给予接收</v>
      </c>
      <c r="O5394" s="63" t="str">
        <f ca="1" t="shared" si="252"/>
        <v/>
      </c>
      <c r="P5394" s="63"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6" t="s">
        <v>208</v>
      </c>
      <c r="C5395" s="71">
        <v>45968</v>
      </c>
      <c r="D5395" s="40" t="str">
        <f>VLOOKUP(B5395,辅助信息!E:K,7,FALSE)</f>
        <v>JWDDCD2025102100480</v>
      </c>
      <c r="E5395" s="40" t="str">
        <f>VLOOKUP(F5395,辅助信息!A:B,2,FALSE)</f>
        <v>螺纹钢</v>
      </c>
      <c r="F5395" s="40" t="s">
        <v>32</v>
      </c>
      <c r="G5395" s="36">
        <v>15</v>
      </c>
      <c r="H5395" s="135">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0" t="str">
        <f>VLOOKUP(B5395,辅助信息!E:J,6,FALSE)</f>
        <v>联系实际收货人（陶杰13980247952）五冶建设送货单,6份材质书,锈货不收，装货前联系收货人核实到场规格,没提前告知进场规格现场不给予接收</v>
      </c>
      <c r="O5395" s="63" t="str">
        <f ca="1" t="shared" si="252"/>
        <v/>
      </c>
      <c r="P5395" s="63"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6" t="s">
        <v>208</v>
      </c>
      <c r="C5396" s="71">
        <v>45968</v>
      </c>
      <c r="D5396" s="40" t="str">
        <f>VLOOKUP(B5396,辅助信息!E:K,7,FALSE)</f>
        <v>JWDDCD2025102100480</v>
      </c>
      <c r="E5396" s="40" t="str">
        <f>VLOOKUP(F5396,辅助信息!A:B,2,FALSE)</f>
        <v>螺纹钢</v>
      </c>
      <c r="F5396" s="40" t="s">
        <v>130</v>
      </c>
      <c r="G5396" s="36">
        <v>20</v>
      </c>
      <c r="H5396" s="135"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0" t="str">
        <f>VLOOKUP(B5396,辅助信息!E:J,6,FALSE)</f>
        <v>联系实际收货人（陶杰13980247952）五冶建设送货单,6份材质书,锈货不收，装货前联系收货人核实到场规格,没提前告知进场规格现场不给予接收</v>
      </c>
      <c r="O5396" s="63" t="str">
        <f ca="1" t="shared" si="252"/>
        <v/>
      </c>
      <c r="P5396" s="63"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6" t="s">
        <v>208</v>
      </c>
      <c r="C5397" s="71">
        <v>45968</v>
      </c>
      <c r="D5397" s="40" t="str">
        <f>VLOOKUP(B5397,辅助信息!E:K,7,FALSE)</f>
        <v>JWDDCD2025102100480</v>
      </c>
      <c r="E5397" s="40" t="str">
        <f>VLOOKUP(F5397,辅助信息!A:B,2,FALSE)</f>
        <v>螺纹钢</v>
      </c>
      <c r="F5397" s="40" t="s">
        <v>30</v>
      </c>
      <c r="G5397" s="36">
        <v>10</v>
      </c>
      <c r="H5397" s="135">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0" t="str">
        <f>VLOOKUP(B5397,辅助信息!E:J,6,FALSE)</f>
        <v>联系实际收货人（陶杰13980247952）五冶建设送货单,6份材质书,锈货不收，装货前联系收货人核实到场规格,没提前告知进场规格现场不给予接收</v>
      </c>
      <c r="O5397" s="63" t="str">
        <f ca="1" t="shared" si="252"/>
        <v/>
      </c>
      <c r="P5397" s="63"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6" t="s">
        <v>208</v>
      </c>
      <c r="C5398" s="71">
        <v>45968</v>
      </c>
      <c r="D5398" s="40" t="str">
        <f>VLOOKUP(B5398,辅助信息!E:K,7,FALSE)</f>
        <v>JWDDCD2025102100480</v>
      </c>
      <c r="E5398" s="40" t="str">
        <f>VLOOKUP(F5398,辅助信息!A:B,2,FALSE)</f>
        <v>螺纹钢</v>
      </c>
      <c r="F5398" s="40" t="s">
        <v>33</v>
      </c>
      <c r="G5398" s="36">
        <v>5</v>
      </c>
      <c r="H5398" s="135">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0" t="str">
        <f>VLOOKUP(B5398,辅助信息!E:J,6,FALSE)</f>
        <v>联系实际收货人（陶杰13980247952）五冶建设送货单,6份材质书,锈货不收，装货前联系收货人核实到场规格,没提前告知进场规格现场不给予接收</v>
      </c>
      <c r="O5398" s="63" t="str">
        <f ca="1" t="shared" si="252"/>
        <v/>
      </c>
      <c r="P5398" s="63"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6" t="s">
        <v>208</v>
      </c>
      <c r="C5399" s="71">
        <v>45968</v>
      </c>
      <c r="D5399" s="40" t="str">
        <f>VLOOKUP(B5399,辅助信息!E:K,7,FALSE)</f>
        <v>JWDDCD2025102100480</v>
      </c>
      <c r="E5399" s="40" t="str">
        <f>VLOOKUP(F5399,辅助信息!A:B,2,FALSE)</f>
        <v>螺纹钢</v>
      </c>
      <c r="F5399" s="40" t="s">
        <v>28</v>
      </c>
      <c r="G5399" s="36">
        <v>5</v>
      </c>
      <c r="H5399" s="135">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0" t="str">
        <f>VLOOKUP(B5399,辅助信息!E:J,6,FALSE)</f>
        <v>联系实际收货人（陶杰13980247952）五冶建设送货单,6份材质书,锈货不收，装货前联系收货人核实到场规格,没提前告知进场规格现场不给予接收</v>
      </c>
      <c r="O5399" s="63" t="str">
        <f ca="1" t="shared" si="252"/>
        <v/>
      </c>
      <c r="P5399" s="63"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6" t="s">
        <v>208</v>
      </c>
      <c r="C5400" s="71">
        <v>45968</v>
      </c>
      <c r="D5400" s="40" t="str">
        <f>VLOOKUP(B5400,辅助信息!E:K,7,FALSE)</f>
        <v>JWDDCD2025102100480</v>
      </c>
      <c r="E5400" s="40" t="str">
        <f>VLOOKUP(F5400,辅助信息!A:B,2,FALSE)</f>
        <v>螺纹钢</v>
      </c>
      <c r="F5400" s="40" t="s">
        <v>91</v>
      </c>
      <c r="G5400" s="36">
        <v>5</v>
      </c>
      <c r="H5400" s="135"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0" t="str">
        <f>VLOOKUP(B5400,辅助信息!E:J,6,FALSE)</f>
        <v>联系实际收货人（陶杰13980247952）五冶建设送货单,6份材质书,锈货不收，装货前联系收货人核实到场规格,没提前告知进场规格现场不给予接收</v>
      </c>
      <c r="O5400" s="63" t="str">
        <f ca="1" t="shared" si="252"/>
        <v/>
      </c>
      <c r="P5400" s="63"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6" t="s">
        <v>208</v>
      </c>
      <c r="C5401" s="71">
        <v>45968</v>
      </c>
      <c r="D5401" s="40" t="str">
        <f>VLOOKUP(B5401,辅助信息!E:K,7,FALSE)</f>
        <v>JWDDCD2025102100480</v>
      </c>
      <c r="E5401" s="40" t="str">
        <f>VLOOKUP(F5401,辅助信息!A:B,2,FALSE)</f>
        <v>螺纹钢</v>
      </c>
      <c r="F5401" s="40" t="s">
        <v>18</v>
      </c>
      <c r="G5401" s="36">
        <v>10</v>
      </c>
      <c r="H5401" s="135">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0" t="str">
        <f>VLOOKUP(B5401,辅助信息!E:J,6,FALSE)</f>
        <v>联系实际收货人（陶杰13980247952）五冶建设送货单,6份材质书,锈货不收，装货前联系收货人核实到场规格,没提前告知进场规格现场不给予接收</v>
      </c>
      <c r="O5401" s="63" t="str">
        <f ca="1" t="shared" si="252"/>
        <v/>
      </c>
      <c r="P5401" s="63"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6" t="s">
        <v>208</v>
      </c>
      <c r="C5402" s="71">
        <v>45968</v>
      </c>
      <c r="D5402" s="40" t="str">
        <f>VLOOKUP(B5402,辅助信息!E:K,7,FALSE)</f>
        <v>JWDDCD2025102100480</v>
      </c>
      <c r="E5402" s="40" t="str">
        <f>VLOOKUP(F5402,辅助信息!A:B,2,FALSE)</f>
        <v>螺纹钢</v>
      </c>
      <c r="F5402" s="40" t="s">
        <v>65</v>
      </c>
      <c r="G5402" s="36">
        <v>10</v>
      </c>
      <c r="H5402" s="135">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0" t="str">
        <f>VLOOKUP(B5402,辅助信息!E:J,6,FALSE)</f>
        <v>联系实际收货人（陶杰13980247952）五冶建设送货单,6份材质书,锈货不收，装货前联系收货人核实到场规格,没提前告知进场规格现场不给予接收</v>
      </c>
      <c r="O5402" s="63" t="str">
        <f ca="1" t="shared" si="252"/>
        <v/>
      </c>
      <c r="P5402" s="63"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6" t="s">
        <v>208</v>
      </c>
      <c r="C5403" s="71">
        <v>45968</v>
      </c>
      <c r="D5403" s="40" t="str">
        <f>VLOOKUP(B5403,辅助信息!E:K,7,FALSE)</f>
        <v>JWDDCD2025102100480</v>
      </c>
      <c r="E5403" s="40" t="str">
        <f>VLOOKUP(F5403,辅助信息!A:B,2,FALSE)</f>
        <v>盘螺</v>
      </c>
      <c r="F5403" s="40" t="s">
        <v>40</v>
      </c>
      <c r="G5403" s="36">
        <v>5</v>
      </c>
      <c r="H5403" s="135">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0" t="str">
        <f>VLOOKUP(B5403,辅助信息!E:J,6,FALSE)</f>
        <v>联系实际收货人（陶杰13980247952）五冶建设送货单,6份材质书,锈货不收，装货前联系收货人核实到场规格,没提前告知进场规格现场不给予接收</v>
      </c>
      <c r="O5403" s="63" t="str">
        <f ca="1" t="shared" si="252"/>
        <v/>
      </c>
      <c r="P5403" s="63"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6" t="s">
        <v>215</v>
      </c>
      <c r="C5404" s="71">
        <v>45968</v>
      </c>
      <c r="D5404" s="40" t="str">
        <f>VLOOKUP(B5404,辅助信息!E:K,7,FALSE)</f>
        <v>JWDDCD2025102100486</v>
      </c>
      <c r="E5404" s="40" t="str">
        <f>VLOOKUP(F5404,辅助信息!A:B,2,FALSE)</f>
        <v>盘螺</v>
      </c>
      <c r="F5404" s="40" t="s">
        <v>26</v>
      </c>
      <c r="G5404" s="36">
        <v>8</v>
      </c>
      <c r="H5404" s="135">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0" t="str">
        <f>VLOOKUP(B5404,辅助信息!E:J,6,FALSE)</f>
        <v>联系实际收货人（孙敏13617695006）五冶建设送货单,6份材质书,锈货不收，装货前联系收货人核实到场规格,没提前告知进场规格现场不给予接收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6" t="s">
        <v>215</v>
      </c>
      <c r="C5405" s="71">
        <v>45968</v>
      </c>
      <c r="D5405" s="40" t="str">
        <f>VLOOKUP(B5405,辅助信息!E:K,7,FALSE)</f>
        <v>JWDDCD2025102100486</v>
      </c>
      <c r="E5405" s="40" t="str">
        <f>VLOOKUP(F5405,辅助信息!A:B,2,FALSE)</f>
        <v>螺纹钢</v>
      </c>
      <c r="F5405" s="40" t="s">
        <v>27</v>
      </c>
      <c r="G5405" s="36">
        <v>6</v>
      </c>
      <c r="H5405" s="135">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0" t="str">
        <f>VLOOKUP(B5405,辅助信息!E:J,6,FALSE)</f>
        <v>联系实际收货人（孙敏13617695006）五冶建设送货单,6份材质书,锈货不收，装货前联系收货人核实到场规格,没提前告知进场规格现场不给予接收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6" t="s">
        <v>215</v>
      </c>
      <c r="C5406" s="71">
        <v>45968</v>
      </c>
      <c r="D5406" s="40" t="str">
        <f>VLOOKUP(B5406,辅助信息!E:K,7,FALSE)</f>
        <v>JWDDCD2025102100486</v>
      </c>
      <c r="E5406" s="40" t="str">
        <f>VLOOKUP(F5406,辅助信息!A:B,2,FALSE)</f>
        <v>螺纹钢</v>
      </c>
      <c r="F5406" s="40" t="s">
        <v>32</v>
      </c>
      <c r="G5406" s="36">
        <v>2.5</v>
      </c>
      <c r="H5406" s="135">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0" t="str">
        <f>VLOOKUP(B5406,辅助信息!E:J,6,FALSE)</f>
        <v>联系实际收货人（孙敏13617695006）五冶建设送货单,6份材质书,锈货不收，装货前联系收货人核实到场规格,没提前告知进场规格现场不给予接收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6" t="s">
        <v>215</v>
      </c>
      <c r="C5407" s="71">
        <v>45968</v>
      </c>
      <c r="D5407" s="40" t="str">
        <f>VLOOKUP(B5407,辅助信息!E:K,7,FALSE)</f>
        <v>JWDDCD2025102100486</v>
      </c>
      <c r="E5407" s="40" t="str">
        <f>VLOOKUP(F5407,辅助信息!A:B,2,FALSE)</f>
        <v>螺纹钢</v>
      </c>
      <c r="F5407" s="40" t="s">
        <v>30</v>
      </c>
      <c r="G5407" s="36">
        <v>2.5</v>
      </c>
      <c r="H5407" s="135">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0" t="str">
        <f>VLOOKUP(B5407,辅助信息!E:J,6,FALSE)</f>
        <v>联系实际收货人（孙敏13617695006）五冶建设送货单,6份材质书,锈货不收，装货前联系收货人核实到场规格,没提前告知进场规格现场不给予接收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6" t="s">
        <v>215</v>
      </c>
      <c r="C5408" s="71">
        <v>45968</v>
      </c>
      <c r="D5408" s="40" t="str">
        <f>VLOOKUP(B5408,辅助信息!E:K,7,FALSE)</f>
        <v>JWDDCD2025102100486</v>
      </c>
      <c r="E5408" s="40" t="str">
        <f>VLOOKUP(F5408,辅助信息!A:B,2,FALSE)</f>
        <v>螺纹钢</v>
      </c>
      <c r="F5408" s="40" t="s">
        <v>33</v>
      </c>
      <c r="G5408" s="36">
        <v>2.5</v>
      </c>
      <c r="H5408" s="135">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0" t="str">
        <f>VLOOKUP(B5408,辅助信息!E:J,6,FALSE)</f>
        <v>联系实际收货人（孙敏13617695006）五冶建设送货单,6份材质书,锈货不收，装货前联系收货人核实到场规格,没提前告知进场规格现场不给予接收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6" t="s">
        <v>215</v>
      </c>
      <c r="C5409" s="71">
        <v>45968</v>
      </c>
      <c r="D5409" s="40" t="str">
        <f>VLOOKUP(B5409,辅助信息!E:K,7,FALSE)</f>
        <v>JWDDCD2025102100486</v>
      </c>
      <c r="E5409" s="40" t="str">
        <f>VLOOKUP(F5409,辅助信息!A:B,2,FALSE)</f>
        <v>螺纹钢</v>
      </c>
      <c r="F5409" s="40" t="s">
        <v>28</v>
      </c>
      <c r="G5409" s="36">
        <v>2.5</v>
      </c>
      <c r="H5409" s="135">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0" t="str">
        <f>VLOOKUP(B5409,辅助信息!E:J,6,FALSE)</f>
        <v>联系实际收货人（孙敏13617695006）五冶建设送货单,6份材质书,锈货不收，装货前联系收货人核实到场规格,没提前告知进场规格现场不给予接收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6" t="s">
        <v>215</v>
      </c>
      <c r="C5410" s="71">
        <v>45968</v>
      </c>
      <c r="D5410" s="40" t="str">
        <f>VLOOKUP(B5410,辅助信息!E:K,7,FALSE)</f>
        <v>JWDDCD2025102100486</v>
      </c>
      <c r="E5410" s="40" t="str">
        <f>VLOOKUP(F5410,辅助信息!A:B,2,FALSE)</f>
        <v>螺纹钢</v>
      </c>
      <c r="F5410" s="40" t="s">
        <v>58</v>
      </c>
      <c r="G5410" s="36">
        <v>10</v>
      </c>
      <c r="H5410" s="135">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0" t="str">
        <f>VLOOKUP(B5410,辅助信息!E:J,6,FALSE)</f>
        <v>联系实际收货人（孙敏13617695006）五冶建设送货单,6份材质书,锈货不收，装货前联系收货人核实到场规格,没提前告知进场规格现场不给予接收</v>
      </c>
      <c r="O5410" s="63" t="str">
        <f ca="1" t="shared" ref="O5410:O5445" si="254">IF(OR(M5410="",N5410&lt;&gt;""),"",MAX(M5410-TODAY(),0))</f>
        <v/>
      </c>
      <c r="P5410" s="63" t="str">
        <f ca="1" t="shared" ref="P5410:P5445"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6" t="s">
        <v>215</v>
      </c>
      <c r="C5411" s="71">
        <v>45968</v>
      </c>
      <c r="D5411" s="40" t="str">
        <f>VLOOKUP(B5411,辅助信息!E:K,7,FALSE)</f>
        <v>JWDDCD2025102100486</v>
      </c>
      <c r="E5411" s="40" t="str">
        <f>VLOOKUP(F5411,辅助信息!A:B,2,FALSE)</f>
        <v>螺纹钢</v>
      </c>
      <c r="F5411" s="40" t="s">
        <v>46</v>
      </c>
      <c r="G5411" s="36">
        <v>10</v>
      </c>
      <c r="H5411" s="135">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0" t="str">
        <f>VLOOKUP(B5411,辅助信息!E:J,6,FALSE)</f>
        <v>联系实际收货人（孙敏13617695006）五冶建设送货单,6份材质书,锈货不收，装货前联系收货人核实到场规格,没提前告知进场规格现场不给予接收</v>
      </c>
      <c r="O5411" s="63" t="str">
        <f ca="1" t="shared" si="254"/>
        <v/>
      </c>
      <c r="P5411" s="63"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6" t="s">
        <v>215</v>
      </c>
      <c r="C5412" s="71">
        <v>45968</v>
      </c>
      <c r="D5412" s="40" t="str">
        <f>VLOOKUP(B5412,辅助信息!E:K,7,FALSE)</f>
        <v>JWDDCD2025102100486</v>
      </c>
      <c r="E5412" s="40" t="str">
        <f>VLOOKUP(F5412,辅助信息!A:B,2,FALSE)</f>
        <v>螺纹钢</v>
      </c>
      <c r="F5412" s="40" t="s">
        <v>22</v>
      </c>
      <c r="G5412" s="36">
        <v>32</v>
      </c>
      <c r="H5412" s="135">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0" t="str">
        <f>VLOOKUP(B5412,辅助信息!E:J,6,FALSE)</f>
        <v>联系实际收货人（孙敏13617695006）五冶建设送货单,6份材质书,锈货不收，装货前联系收货人核实到场规格,没提前告知进场规格现场不给予接收</v>
      </c>
      <c r="O5412" s="63" t="str">
        <f ca="1" t="shared" si="254"/>
        <v/>
      </c>
      <c r="P5412" s="63"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6" t="s">
        <v>243</v>
      </c>
      <c r="C5413" s="71">
        <v>45968</v>
      </c>
      <c r="D5413" s="40" t="str">
        <f>VLOOKUP(B5413,辅助信息!E:K,7,FALSE)</f>
        <v>JWDDCD2025062200016</v>
      </c>
      <c r="E5413" s="40" t="str">
        <f>VLOOKUP(F5413,辅助信息!A:B,2,FALSE)</f>
        <v>螺纹钢</v>
      </c>
      <c r="F5413" s="40" t="s">
        <v>32</v>
      </c>
      <c r="G5413" s="36">
        <v>35</v>
      </c>
      <c r="H5413" s="135"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0" t="str">
        <f>VLOOKUP(B5413,辅助信息!E:J,6,FALSE)</f>
        <v>锈货不收！！下雨天钢筋没盖篷布不收！！，装货前联系收货人核实到场规格,没提前告知进场规格现场不给予接收</v>
      </c>
      <c r="O5413" s="63" t="str">
        <f ca="1" t="shared" si="254"/>
        <v/>
      </c>
      <c r="P5413" s="63"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6" t="s">
        <v>243</v>
      </c>
      <c r="C5414" s="71">
        <v>45968</v>
      </c>
      <c r="D5414" s="40" t="str">
        <f>VLOOKUP(B5414,辅助信息!E:K,7,FALSE)</f>
        <v>JWDDCD2025062200016</v>
      </c>
      <c r="E5414" s="40" t="str">
        <f>VLOOKUP(F5414,辅助信息!A:B,2,FALSE)</f>
        <v>螺纹钢</v>
      </c>
      <c r="F5414" s="40" t="s">
        <v>18</v>
      </c>
      <c r="G5414" s="36">
        <v>4</v>
      </c>
      <c r="H5414" s="135"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0" t="str">
        <f>VLOOKUP(B5414,辅助信息!E:J,6,FALSE)</f>
        <v>锈货不收！！下雨天钢筋没盖篷布不收！！，装货前联系收货人核实到场规格,没提前告知进场规格现场不给予接收</v>
      </c>
      <c r="O5414" s="63" t="str">
        <f ca="1" t="shared" si="254"/>
        <v/>
      </c>
      <c r="P5414" s="63"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6" t="s">
        <v>160</v>
      </c>
      <c r="C5415" s="71">
        <v>45968</v>
      </c>
      <c r="D5415" s="40" t="str">
        <f>VLOOKUP(B5415,辅助信息!E:K,7,FALSE)</f>
        <v>JWDDCD2025071500024</v>
      </c>
      <c r="E5415" s="40" t="str">
        <f>VLOOKUP(F5415,辅助信息!A:B,2,FALSE)</f>
        <v>盘螺</v>
      </c>
      <c r="F5415" s="40" t="s">
        <v>41</v>
      </c>
      <c r="G5415" s="36">
        <v>5</v>
      </c>
      <c r="H5415" s="135">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0" t="str">
        <f>VLOOKUP(B5415,辅助信息!E:J,6,FALSE)</f>
        <v>炉批号尽可能不要多</v>
      </c>
      <c r="O5415" s="63" t="str">
        <f ca="1" t="shared" si="254"/>
        <v/>
      </c>
      <c r="P5415" s="63"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6" t="s">
        <v>160</v>
      </c>
      <c r="C5416" s="71">
        <v>45968</v>
      </c>
      <c r="D5416" s="40" t="str">
        <f>VLOOKUP(B5416,辅助信息!E:K,7,FALSE)</f>
        <v>JWDDCD2025071500024</v>
      </c>
      <c r="E5416" s="40" t="str">
        <f>VLOOKUP(F5416,辅助信息!A:B,2,FALSE)</f>
        <v>盘螺</v>
      </c>
      <c r="F5416" s="40" t="s">
        <v>26</v>
      </c>
      <c r="G5416" s="36">
        <v>5</v>
      </c>
      <c r="H5416" s="135">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0" t="str">
        <f>VLOOKUP(B5416,辅助信息!E:J,6,FALSE)</f>
        <v>炉批号尽可能不要多</v>
      </c>
      <c r="O5416" s="63" t="str">
        <f ca="1" t="shared" si="254"/>
        <v/>
      </c>
      <c r="P5416" s="63"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6" t="s">
        <v>160</v>
      </c>
      <c r="C5417" s="71">
        <v>45968</v>
      </c>
      <c r="D5417" s="40" t="str">
        <f>VLOOKUP(B5417,辅助信息!E:K,7,FALSE)</f>
        <v>JWDDCD2025071500024</v>
      </c>
      <c r="E5417" s="40" t="str">
        <f>VLOOKUP(F5417,辅助信息!A:B,2,FALSE)</f>
        <v>螺纹钢</v>
      </c>
      <c r="F5417" s="40" t="s">
        <v>32</v>
      </c>
      <c r="G5417" s="36">
        <v>9</v>
      </c>
      <c r="H5417" s="135">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0" t="str">
        <f>VLOOKUP(B5417,辅助信息!E:J,6,FALSE)</f>
        <v>炉批号尽可能不要多</v>
      </c>
      <c r="O5417" s="63" t="str">
        <f ca="1" t="shared" si="254"/>
        <v/>
      </c>
      <c r="P5417" s="63"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6" t="s">
        <v>160</v>
      </c>
      <c r="C5418" s="71">
        <v>45968</v>
      </c>
      <c r="D5418" s="40" t="str">
        <f>VLOOKUP(B5418,辅助信息!E:K,7,FALSE)</f>
        <v>JWDDCD2025071500024</v>
      </c>
      <c r="E5418" s="40" t="str">
        <f>VLOOKUP(F5418,辅助信息!A:B,2,FALSE)</f>
        <v>螺纹钢</v>
      </c>
      <c r="F5418" s="40" t="s">
        <v>33</v>
      </c>
      <c r="G5418" s="36">
        <v>12</v>
      </c>
      <c r="H5418" s="135">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0" t="str">
        <f>VLOOKUP(B5418,辅助信息!E:J,6,FALSE)</f>
        <v>炉批号尽可能不要多</v>
      </c>
      <c r="O5418" s="63" t="str">
        <f ca="1" t="shared" si="254"/>
        <v/>
      </c>
      <c r="P5418" s="63"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6" t="s">
        <v>160</v>
      </c>
      <c r="C5419" s="71">
        <v>45968</v>
      </c>
      <c r="D5419" s="40" t="str">
        <f>VLOOKUP(B5419,辅助信息!E:K,7,FALSE)</f>
        <v>JWDDCD2025071500024</v>
      </c>
      <c r="E5419" s="40" t="str">
        <f>VLOOKUP(F5419,辅助信息!A:B,2,FALSE)</f>
        <v>盘螺</v>
      </c>
      <c r="F5419" s="40" t="s">
        <v>40</v>
      </c>
      <c r="G5419" s="36">
        <v>5</v>
      </c>
      <c r="H5419" s="135">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0" t="str">
        <f>VLOOKUP(B5419,辅助信息!E:J,6,FALSE)</f>
        <v>炉批号尽可能不要多</v>
      </c>
      <c r="O5419" s="63" t="str">
        <f ca="1" t="shared" si="254"/>
        <v/>
      </c>
      <c r="P5419" s="63"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37" t="s">
        <v>228</v>
      </c>
      <c r="C5420" s="71">
        <v>45970</v>
      </c>
      <c r="D5420" s="121" t="str">
        <f>VLOOKUP(B5420,辅助信息!E:K,7,FALSE)</f>
        <v>JWDDCD2025092400190</v>
      </c>
      <c r="E5420" s="121" t="str">
        <f>VLOOKUP(F5420,辅助信息!A:B,2,FALSE)</f>
        <v>螺纹钢</v>
      </c>
      <c r="F5420" s="121" t="s">
        <v>19</v>
      </c>
      <c r="G5420" s="122">
        <f>10-4</f>
        <v>6</v>
      </c>
      <c r="H5420" s="135" t="str">
        <f>IF(SUMIFS('[1]2025年已发货'!$E:$E,'[1]2025年已发货'!$F:$F,C5420,'[1]2025年已发货'!$C:$C,F5420,'[1]2025年已发货'!$G:$G,I5420,'[1]2025年已发货'!$H:$H,J5420)=0,"未发货",SUMIFS('[1]2025年已发货'!$E:$E,'[1]2025年已发货'!$F:$F,C5420,'[1]2025年已发货'!$C:$C,F5420,'[1]2025年已发货'!$G:$G,I5420,'[1]2025年已发货'!$H:$H,J5420))</f>
        <v>未发货</v>
      </c>
      <c r="I5420" s="157" t="str">
        <f>VLOOKUP(B5420,辅助信息!E:I,3,FALSE)</f>
        <v>(五冶钢构龙泉东洪片区70亩住宅、商业及配套工程项目二标段)成都市龙泉驿外东洪路地铁2号线惠王陵地铁C口</v>
      </c>
      <c r="J5420" s="121" t="str">
        <f>VLOOKUP(B5420,辅助信息!E:I,4,FALSE)</f>
        <v>蒋嗣伟</v>
      </c>
      <c r="K5420" s="121">
        <f>VLOOKUP(J5420,辅助信息!H:I,2,FALSE)</f>
        <v>15014331252</v>
      </c>
      <c r="L5420" s="123">
        <f>VLOOKUP(B5420,辅助信息!E:J,6,FALSE)</f>
        <v>0</v>
      </c>
      <c r="O5420" s="63" t="str">
        <f ca="1" t="shared" si="254"/>
        <v/>
      </c>
      <c r="P5420" s="63"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37" t="s">
        <v>228</v>
      </c>
      <c r="C5421" s="71">
        <v>45970</v>
      </c>
      <c r="D5421" s="121" t="str">
        <f>VLOOKUP(B5421,辅助信息!E:K,7,FALSE)</f>
        <v>JWDDCD2025092400190</v>
      </c>
      <c r="E5421" s="121" t="str">
        <f>VLOOKUP(F5421,辅助信息!A:B,2,FALSE)</f>
        <v>螺纹钢</v>
      </c>
      <c r="F5421" s="121" t="s">
        <v>32</v>
      </c>
      <c r="G5421" s="122">
        <v>3</v>
      </c>
      <c r="H5421" s="135" t="str">
        <f>IF(SUMIFS('[1]2025年已发货'!$E:$E,'[1]2025年已发货'!$F:$F,C5421,'[1]2025年已发货'!$C:$C,F5421,'[1]2025年已发货'!$G:$G,I5421,'[1]2025年已发货'!$H:$H,J5421)=0,"未发货",SUMIFS('[1]2025年已发货'!$E:$E,'[1]2025年已发货'!$F:$F,C5421,'[1]2025年已发货'!$C:$C,F5421,'[1]2025年已发货'!$G:$G,I5421,'[1]2025年已发货'!$H:$H,J5421))</f>
        <v>未发货</v>
      </c>
      <c r="I5421" s="157" t="str">
        <f>VLOOKUP(B5421,辅助信息!E:I,3,FALSE)</f>
        <v>(五冶钢构龙泉东洪片区70亩住宅、商业及配套工程项目二标段)成都市龙泉驿外东洪路地铁2号线惠王陵地铁C口</v>
      </c>
      <c r="J5421" s="121" t="str">
        <f>VLOOKUP(B5421,辅助信息!E:I,4,FALSE)</f>
        <v>蒋嗣伟</v>
      </c>
      <c r="K5421" s="121">
        <f>VLOOKUP(J5421,辅助信息!H:I,2,FALSE)</f>
        <v>15014331252</v>
      </c>
      <c r="L5421" s="123">
        <f>VLOOKUP(B5421,辅助信息!E:J,6,FALSE)</f>
        <v>0</v>
      </c>
      <c r="O5421" s="63" t="str">
        <f ca="1" t="shared" si="254"/>
        <v/>
      </c>
      <c r="P5421" s="63"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37" t="s">
        <v>228</v>
      </c>
      <c r="C5422" s="71">
        <v>45970</v>
      </c>
      <c r="D5422" s="121" t="str">
        <f>VLOOKUP(B5422,辅助信息!E:K,7,FALSE)</f>
        <v>JWDDCD2025092400190</v>
      </c>
      <c r="E5422" s="121" t="str">
        <f>VLOOKUP(F5422,辅助信息!A:B,2,FALSE)</f>
        <v>螺纹钢</v>
      </c>
      <c r="F5422" s="121" t="s">
        <v>30</v>
      </c>
      <c r="G5422" s="122">
        <v>21.5</v>
      </c>
      <c r="H5422" s="135" t="str">
        <f>IF(SUMIFS('[1]2025年已发货'!$E:$E,'[1]2025年已发货'!$F:$F,C5422,'[1]2025年已发货'!$C:$C,F5422,'[1]2025年已发货'!$G:$G,I5422,'[1]2025年已发货'!$H:$H,J5422)=0,"未发货",SUMIFS('[1]2025年已发货'!$E:$E,'[1]2025年已发货'!$F:$F,C5422,'[1]2025年已发货'!$C:$C,F5422,'[1]2025年已发货'!$G:$G,I5422,'[1]2025年已发货'!$H:$H,J5422))</f>
        <v>未发货</v>
      </c>
      <c r="I5422" s="157" t="str">
        <f>VLOOKUP(B5422,辅助信息!E:I,3,FALSE)</f>
        <v>(五冶钢构龙泉东洪片区70亩住宅、商业及配套工程项目二标段)成都市龙泉驿外东洪路地铁2号线惠王陵地铁C口</v>
      </c>
      <c r="J5422" s="121" t="str">
        <f>VLOOKUP(B5422,辅助信息!E:I,4,FALSE)</f>
        <v>蒋嗣伟</v>
      </c>
      <c r="K5422" s="121">
        <f>VLOOKUP(J5422,辅助信息!H:I,2,FALSE)</f>
        <v>15014331252</v>
      </c>
      <c r="L5422" s="123">
        <f>VLOOKUP(B5422,辅助信息!E:J,6,FALSE)</f>
        <v>0</v>
      </c>
      <c r="O5422" s="63" t="str">
        <f ca="1" t="shared" si="254"/>
        <v/>
      </c>
      <c r="P5422" s="63"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37" t="s">
        <v>228</v>
      </c>
      <c r="C5423" s="71">
        <v>45970</v>
      </c>
      <c r="D5423" s="121" t="str">
        <f>VLOOKUP(B5423,辅助信息!E:K,7,FALSE)</f>
        <v>JWDDCD2025092400190</v>
      </c>
      <c r="E5423" s="121" t="str">
        <f>VLOOKUP(F5423,辅助信息!A:B,2,FALSE)</f>
        <v>螺纹钢</v>
      </c>
      <c r="F5423" s="121" t="s">
        <v>28</v>
      </c>
      <c r="G5423" s="122">
        <v>2</v>
      </c>
      <c r="H5423" s="135" t="str">
        <f>IF(SUMIFS('[1]2025年已发货'!$E:$E,'[1]2025年已发货'!$F:$F,C5423,'[1]2025年已发货'!$C:$C,F5423,'[1]2025年已发货'!$G:$G,I5423,'[1]2025年已发货'!$H:$H,J5423)=0,"未发货",SUMIFS('[1]2025年已发货'!$E:$E,'[1]2025年已发货'!$F:$F,C5423,'[1]2025年已发货'!$C:$C,F5423,'[1]2025年已发货'!$G:$G,I5423,'[1]2025年已发货'!$H:$H,J5423))</f>
        <v>未发货</v>
      </c>
      <c r="I5423" s="157" t="str">
        <f>VLOOKUP(B5423,辅助信息!E:I,3,FALSE)</f>
        <v>(五冶钢构龙泉东洪片区70亩住宅、商业及配套工程项目二标段)成都市龙泉驿外东洪路地铁2号线惠王陵地铁C口</v>
      </c>
      <c r="J5423" s="121" t="str">
        <f>VLOOKUP(B5423,辅助信息!E:I,4,FALSE)</f>
        <v>蒋嗣伟</v>
      </c>
      <c r="K5423" s="121">
        <f>VLOOKUP(J5423,辅助信息!H:I,2,FALSE)</f>
        <v>15014331252</v>
      </c>
      <c r="L5423" s="123">
        <f>VLOOKUP(B5423,辅助信息!E:J,6,FALSE)</f>
        <v>0</v>
      </c>
      <c r="O5423" s="63" t="str">
        <f ca="1" t="shared" si="254"/>
        <v/>
      </c>
      <c r="P5423" s="63"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37" t="s">
        <v>229</v>
      </c>
      <c r="C5424" s="71">
        <v>45970</v>
      </c>
      <c r="D5424" s="121" t="str">
        <f>VLOOKUP(B5424,辅助信息!E:K,7,FALSE)</f>
        <v>JWDDCD2025092400212</v>
      </c>
      <c r="E5424" s="121" t="str">
        <f>VLOOKUP(F5424,辅助信息!A:B,2,FALSE)</f>
        <v>高线</v>
      </c>
      <c r="F5424" s="121" t="s">
        <v>57</v>
      </c>
      <c r="G5424" s="122">
        <v>2</v>
      </c>
      <c r="H5424" s="135"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7" t="str">
        <f>VLOOKUP(B5424,辅助信息!E:I,3,FALSE)</f>
        <v>(五冶钢构龙泉东洪片区85亩住宅、商业及配套工程项目三标段)成都市龙泉驿外东洪路地铁2号线惠王陵地铁C口</v>
      </c>
      <c r="J5424" s="121" t="str">
        <f>VLOOKUP(B5424,辅助信息!E:I,4,FALSE)</f>
        <v>王军宝</v>
      </c>
      <c r="K5424" s="121">
        <f>VLOOKUP(J5424,辅助信息!H:I,2,FALSE)</f>
        <v>13889142392</v>
      </c>
      <c r="L5424" s="123">
        <f>VLOOKUP(B5424,辅助信息!E:J,6,FALSE)</f>
        <v>0</v>
      </c>
      <c r="O5424" s="63" t="str">
        <f ca="1" t="shared" si="254"/>
        <v/>
      </c>
      <c r="P5424" s="63"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37" t="s">
        <v>229</v>
      </c>
      <c r="C5425" s="71">
        <v>45970</v>
      </c>
      <c r="D5425" s="121" t="str">
        <f>VLOOKUP(B5425,辅助信息!E:K,7,FALSE)</f>
        <v>JWDDCD2025092400212</v>
      </c>
      <c r="E5425" s="121" t="str">
        <f>VLOOKUP(F5425,辅助信息!A:B,2,FALSE)</f>
        <v>高线</v>
      </c>
      <c r="F5425" s="121" t="s">
        <v>53</v>
      </c>
      <c r="G5425" s="122">
        <v>2</v>
      </c>
      <c r="H5425" s="135" t="str">
        <f>IF(SUMIFS('[1]2025年已发货'!$E:$E,'[1]2025年已发货'!$F:$F,C5425,'[1]2025年已发货'!$C:$C,F5425,'[1]2025年已发货'!$G:$G,I5425,'[1]2025年已发货'!$H:$H,J5425)=0,"未发货",SUMIFS('[1]2025年已发货'!$E:$E,'[1]2025年已发货'!$F:$F,C5425,'[1]2025年已发货'!$C:$C,F5425,'[1]2025年已发货'!$G:$G,I5425,'[1]2025年已发货'!$H:$H,J5425))</f>
        <v>未发货</v>
      </c>
      <c r="I5425" s="157" t="str">
        <f>VLOOKUP(B5425,辅助信息!E:I,3,FALSE)</f>
        <v>(五冶钢构龙泉东洪片区85亩住宅、商业及配套工程项目三标段)成都市龙泉驿外东洪路地铁2号线惠王陵地铁C口</v>
      </c>
      <c r="J5425" s="121" t="str">
        <f>VLOOKUP(B5425,辅助信息!E:I,4,FALSE)</f>
        <v>王军宝</v>
      </c>
      <c r="K5425" s="121">
        <f>VLOOKUP(J5425,辅助信息!H:I,2,FALSE)</f>
        <v>13889142392</v>
      </c>
      <c r="L5425" s="123">
        <f>VLOOKUP(B5425,辅助信息!E:J,6,FALSE)</f>
        <v>0</v>
      </c>
      <c r="O5425" s="63" t="str">
        <f ca="1" t="shared" si="254"/>
        <v/>
      </c>
      <c r="P5425" s="63"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37" t="s">
        <v>229</v>
      </c>
      <c r="C5426" s="71">
        <v>45970</v>
      </c>
      <c r="D5426" s="121" t="str">
        <f>VLOOKUP(B5426,辅助信息!E:K,7,FALSE)</f>
        <v>JWDDCD2025092400212</v>
      </c>
      <c r="E5426" s="121" t="str">
        <f>VLOOKUP(F5426,辅助信息!A:B,2,FALSE)</f>
        <v>螺纹钢</v>
      </c>
      <c r="F5426" s="121" t="s">
        <v>27</v>
      </c>
      <c r="G5426" s="122">
        <v>52</v>
      </c>
      <c r="H5426" s="135" t="str">
        <f>IF(SUMIFS('[1]2025年已发货'!$E:$E,'[1]2025年已发货'!$F:$F,C5426,'[1]2025年已发货'!$C:$C,F5426,'[1]2025年已发货'!$G:$G,I5426,'[1]2025年已发货'!$H:$H,J5426)=0,"未发货",SUMIFS('[1]2025年已发货'!$E:$E,'[1]2025年已发货'!$F:$F,C5426,'[1]2025年已发货'!$C:$C,F5426,'[1]2025年已发货'!$G:$G,I5426,'[1]2025年已发货'!$H:$H,J5426))</f>
        <v>未发货</v>
      </c>
      <c r="I5426" s="157" t="str">
        <f>VLOOKUP(B5426,辅助信息!E:I,3,FALSE)</f>
        <v>(五冶钢构龙泉东洪片区85亩住宅、商业及配套工程项目三标段)成都市龙泉驿外东洪路地铁2号线惠王陵地铁C口</v>
      </c>
      <c r="J5426" s="121" t="str">
        <f>VLOOKUP(B5426,辅助信息!E:I,4,FALSE)</f>
        <v>王军宝</v>
      </c>
      <c r="K5426" s="121">
        <f>VLOOKUP(J5426,辅助信息!H:I,2,FALSE)</f>
        <v>13889142392</v>
      </c>
      <c r="L5426" s="123">
        <f>VLOOKUP(B5426,辅助信息!E:J,6,FALSE)</f>
        <v>0</v>
      </c>
      <c r="O5426" s="63" t="str">
        <f ca="1" t="shared" si="254"/>
        <v/>
      </c>
      <c r="P5426" s="63"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37" t="s">
        <v>229</v>
      </c>
      <c r="C5427" s="71">
        <v>45970</v>
      </c>
      <c r="D5427" s="121" t="str">
        <f>VLOOKUP(B5427,辅助信息!E:K,7,FALSE)</f>
        <v>JWDDCD2025092400212</v>
      </c>
      <c r="E5427" s="121" t="str">
        <f>VLOOKUP(F5427,辅助信息!A:B,2,FALSE)</f>
        <v>螺纹钢</v>
      </c>
      <c r="F5427" s="121" t="s">
        <v>30</v>
      </c>
      <c r="G5427" s="122">
        <v>11</v>
      </c>
      <c r="H5427" s="135"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57" t="str">
        <f>VLOOKUP(B5427,辅助信息!E:I,3,FALSE)</f>
        <v>(五冶钢构龙泉东洪片区85亩住宅、商业及配套工程项目三标段)成都市龙泉驿外东洪路地铁2号线惠王陵地铁C口</v>
      </c>
      <c r="J5427" s="121" t="str">
        <f>VLOOKUP(B5427,辅助信息!E:I,4,FALSE)</f>
        <v>王军宝</v>
      </c>
      <c r="K5427" s="121">
        <f>VLOOKUP(J5427,辅助信息!H:I,2,FALSE)</f>
        <v>13889142392</v>
      </c>
      <c r="L5427" s="123">
        <f>VLOOKUP(B5427,辅助信息!E:J,6,FALSE)</f>
        <v>0</v>
      </c>
      <c r="O5427" s="63" t="str">
        <f ca="1" t="shared" si="254"/>
        <v/>
      </c>
      <c r="P5427" s="63"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37" t="s">
        <v>229</v>
      </c>
      <c r="C5428" s="71">
        <v>45970</v>
      </c>
      <c r="D5428" s="121" t="str">
        <f>VLOOKUP(B5428,辅助信息!E:K,7,FALSE)</f>
        <v>JWDDCD2025092400212</v>
      </c>
      <c r="E5428" s="121" t="str">
        <f>VLOOKUP(F5428,辅助信息!A:B,2,FALSE)</f>
        <v>螺纹钢</v>
      </c>
      <c r="F5428" s="121" t="s">
        <v>28</v>
      </c>
      <c r="G5428" s="122">
        <v>4</v>
      </c>
      <c r="H5428" s="135" t="str">
        <f>IF(SUMIFS('[1]2025年已发货'!$E:$E,'[1]2025年已发货'!$F:$F,C5428,'[1]2025年已发货'!$C:$C,F5428,'[1]2025年已发货'!$G:$G,I5428,'[1]2025年已发货'!$H:$H,J5428)=0,"未发货",SUMIFS('[1]2025年已发货'!$E:$E,'[1]2025年已发货'!$F:$F,C5428,'[1]2025年已发货'!$C:$C,F5428,'[1]2025年已发货'!$G:$G,I5428,'[1]2025年已发货'!$H:$H,J5428))</f>
        <v>未发货</v>
      </c>
      <c r="I5428" s="157" t="str">
        <f>VLOOKUP(B5428,辅助信息!E:I,3,FALSE)</f>
        <v>(五冶钢构龙泉东洪片区85亩住宅、商业及配套工程项目三标段)成都市龙泉驿外东洪路地铁2号线惠王陵地铁C口</v>
      </c>
      <c r="J5428" s="121" t="str">
        <f>VLOOKUP(B5428,辅助信息!E:I,4,FALSE)</f>
        <v>王军宝</v>
      </c>
      <c r="K5428" s="121">
        <f>VLOOKUP(J5428,辅助信息!H:I,2,FALSE)</f>
        <v>13889142392</v>
      </c>
      <c r="L5428" s="123">
        <f>VLOOKUP(B5428,辅助信息!E:J,6,FALSE)</f>
        <v>0</v>
      </c>
      <c r="O5428" s="63" t="str">
        <f ca="1" t="shared" si="254"/>
        <v/>
      </c>
      <c r="P5428" s="63"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37" t="s">
        <v>229</v>
      </c>
      <c r="C5429" s="71">
        <v>45970</v>
      </c>
      <c r="D5429" s="121" t="str">
        <f>VLOOKUP(B5429,辅助信息!E:K,7,FALSE)</f>
        <v>JWDDCD2025092400212</v>
      </c>
      <c r="E5429" s="121" t="str">
        <f>VLOOKUP(F5429,辅助信息!A:B,2,FALSE)</f>
        <v>盘螺</v>
      </c>
      <c r="F5429" s="121" t="s">
        <v>49</v>
      </c>
      <c r="G5429" s="122">
        <v>8</v>
      </c>
      <c r="H5429" s="135" t="str">
        <f>IF(SUMIFS('[1]2025年已发货'!$E:$E,'[1]2025年已发货'!$F:$F,C5429,'[1]2025年已发货'!$C:$C,F5429,'[1]2025年已发货'!$G:$G,I5429,'[1]2025年已发货'!$H:$H,J5429)=0,"未发货",SUMIFS('[1]2025年已发货'!$E:$E,'[1]2025年已发货'!$F:$F,C5429,'[1]2025年已发货'!$C:$C,F5429,'[1]2025年已发货'!$G:$G,I5429,'[1]2025年已发货'!$H:$H,J5429))</f>
        <v>未发货</v>
      </c>
      <c r="I5429" s="157" t="str">
        <f>VLOOKUP(B5429,辅助信息!E:I,3,FALSE)</f>
        <v>(五冶钢构龙泉东洪片区85亩住宅、商业及配套工程项目三标段)成都市龙泉驿外东洪路地铁2号线惠王陵地铁C口</v>
      </c>
      <c r="J5429" s="121" t="str">
        <f>VLOOKUP(B5429,辅助信息!E:I,4,FALSE)</f>
        <v>王军宝</v>
      </c>
      <c r="K5429" s="121">
        <f>VLOOKUP(J5429,辅助信息!H:I,2,FALSE)</f>
        <v>13889142392</v>
      </c>
      <c r="L5429" s="123">
        <f>VLOOKUP(B5429,辅助信息!E:J,6,FALSE)</f>
        <v>0</v>
      </c>
      <c r="O5429" s="63" t="str">
        <f ca="1" t="shared" si="254"/>
        <v/>
      </c>
      <c r="P5429" s="63"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37" t="s">
        <v>229</v>
      </c>
      <c r="C5430" s="71">
        <v>45970</v>
      </c>
      <c r="D5430" s="121" t="str">
        <f>VLOOKUP(B5430,辅助信息!E:K,7,FALSE)</f>
        <v>JWDDCD2025092400212</v>
      </c>
      <c r="E5430" s="121" t="str">
        <f>VLOOKUP(F5430,辅助信息!A:B,2,FALSE)</f>
        <v>螺纹钢</v>
      </c>
      <c r="F5430" s="121" t="s">
        <v>46</v>
      </c>
      <c r="G5430" s="122">
        <v>9</v>
      </c>
      <c r="H5430" s="135"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57" t="str">
        <f>VLOOKUP(B5430,辅助信息!E:I,3,FALSE)</f>
        <v>(五冶钢构龙泉东洪片区85亩住宅、商业及配套工程项目三标段)成都市龙泉驿外东洪路地铁2号线惠王陵地铁C口</v>
      </c>
      <c r="J5430" s="121" t="str">
        <f>VLOOKUP(B5430,辅助信息!E:I,4,FALSE)</f>
        <v>王军宝</v>
      </c>
      <c r="K5430" s="121">
        <f>VLOOKUP(J5430,辅助信息!H:I,2,FALSE)</f>
        <v>13889142392</v>
      </c>
      <c r="L5430" s="123">
        <f>VLOOKUP(B5430,辅助信息!E:J,6,FALSE)</f>
        <v>0</v>
      </c>
      <c r="O5430" s="63" t="str">
        <f ca="1" t="shared" si="254"/>
        <v/>
      </c>
      <c r="P5430" s="63"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37" t="s">
        <v>225</v>
      </c>
      <c r="C5431" s="71">
        <v>45970</v>
      </c>
      <c r="D5431" s="121" t="str">
        <f>VLOOKUP(B5431,辅助信息!E:K,7,FALSE)</f>
        <v>JWDDCD2025092400210</v>
      </c>
      <c r="E5431" s="121" t="str">
        <f>VLOOKUP(F5431,辅助信息!A:B,2,FALSE)</f>
        <v>盘螺</v>
      </c>
      <c r="F5431" s="121" t="s">
        <v>41</v>
      </c>
      <c r="G5431" s="122">
        <v>15</v>
      </c>
      <c r="H5431" s="135"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57" t="str">
        <f>VLOOKUP(B5431,辅助信息!E:I,3,FALSE)</f>
        <v>(五冶钢构龙泉东洪片区85亩住宅、商业及配套工程项目一标段)成都市龙泉驿外东洪路地铁2号线惠王陵地铁C口</v>
      </c>
      <c r="J5431" s="121" t="str">
        <f>VLOOKUP(B5431,辅助信息!E:I,4,FALSE)</f>
        <v>岳工</v>
      </c>
      <c r="K5431" s="121">
        <f>VLOOKUP(J5431,辅助信息!H:I,2,FALSE)</f>
        <v>18599951655</v>
      </c>
      <c r="L5431" s="123">
        <f>VLOOKUP(B5431,辅助信息!E:J,6,FALSE)</f>
        <v>0</v>
      </c>
      <c r="O5431" s="63" t="str">
        <f ca="1" t="shared" si="254"/>
        <v/>
      </c>
      <c r="P5431" s="63"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37" t="s">
        <v>225</v>
      </c>
      <c r="C5432" s="71">
        <v>45970</v>
      </c>
      <c r="D5432" s="121" t="str">
        <f>VLOOKUP(B5432,辅助信息!E:K,7,FALSE)</f>
        <v>JWDDCD2025092400210</v>
      </c>
      <c r="E5432" s="121" t="str">
        <f>VLOOKUP(F5432,辅助信息!A:B,2,FALSE)</f>
        <v>螺纹钢</v>
      </c>
      <c r="F5432" s="121" t="s">
        <v>27</v>
      </c>
      <c r="G5432" s="122">
        <v>25</v>
      </c>
      <c r="H5432" s="135"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57" t="str">
        <f>VLOOKUP(B5432,辅助信息!E:I,3,FALSE)</f>
        <v>(五冶钢构龙泉东洪片区85亩住宅、商业及配套工程项目一标段)成都市龙泉驿外东洪路地铁2号线惠王陵地铁C口</v>
      </c>
      <c r="J5432" s="121" t="str">
        <f>VLOOKUP(B5432,辅助信息!E:I,4,FALSE)</f>
        <v>岳工</v>
      </c>
      <c r="K5432" s="121">
        <f>VLOOKUP(J5432,辅助信息!H:I,2,FALSE)</f>
        <v>18599951655</v>
      </c>
      <c r="L5432" s="123">
        <f>VLOOKUP(B5432,辅助信息!E:J,6,FALSE)</f>
        <v>0</v>
      </c>
      <c r="O5432" s="63" t="str">
        <f ca="1" t="shared" si="254"/>
        <v/>
      </c>
      <c r="P5432" s="63"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37" t="s">
        <v>225</v>
      </c>
      <c r="C5433" s="71">
        <v>45970</v>
      </c>
      <c r="D5433" s="121" t="str">
        <f>VLOOKUP(B5433,辅助信息!E:K,7,FALSE)</f>
        <v>JWDDCD2025092400210</v>
      </c>
      <c r="E5433" s="121" t="str">
        <f>VLOOKUP(F5433,辅助信息!A:B,2,FALSE)</f>
        <v>螺纹钢</v>
      </c>
      <c r="F5433" s="121" t="s">
        <v>19</v>
      </c>
      <c r="G5433" s="122">
        <v>13</v>
      </c>
      <c r="H5433" s="135" t="str">
        <f>IF(SUMIFS('[1]2025年已发货'!$E:$E,'[1]2025年已发货'!$F:$F,C5433,'[1]2025年已发货'!$C:$C,F5433,'[1]2025年已发货'!$G:$G,I5433,'[1]2025年已发货'!$H:$H,J5433)=0,"未发货",SUMIFS('[1]2025年已发货'!$E:$E,'[1]2025年已发货'!$F:$F,C5433,'[1]2025年已发货'!$C:$C,F5433,'[1]2025年已发货'!$G:$G,I5433,'[1]2025年已发货'!$H:$H,J5433))</f>
        <v>未发货</v>
      </c>
      <c r="I5433" s="157" t="str">
        <f>VLOOKUP(B5433,辅助信息!E:I,3,FALSE)</f>
        <v>(五冶钢构龙泉东洪片区85亩住宅、商业及配套工程项目一标段)成都市龙泉驿外东洪路地铁2号线惠王陵地铁C口</v>
      </c>
      <c r="J5433" s="121" t="str">
        <f>VLOOKUP(B5433,辅助信息!E:I,4,FALSE)</f>
        <v>岳工</v>
      </c>
      <c r="K5433" s="121">
        <f>VLOOKUP(J5433,辅助信息!H:I,2,FALSE)</f>
        <v>18599951655</v>
      </c>
      <c r="L5433" s="123">
        <f>VLOOKUP(B5433,辅助信息!E:J,6,FALSE)</f>
        <v>0</v>
      </c>
      <c r="O5433" s="63" t="str">
        <f ca="1" t="shared" si="254"/>
        <v/>
      </c>
      <c r="P5433" s="63"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37" t="s">
        <v>225</v>
      </c>
      <c r="C5434" s="71">
        <v>45970</v>
      </c>
      <c r="D5434" s="121" t="str">
        <f>VLOOKUP(B5434,辅助信息!E:K,7,FALSE)</f>
        <v>JWDDCD2025092400210</v>
      </c>
      <c r="E5434" s="121" t="str">
        <f>VLOOKUP(F5434,辅助信息!A:B,2,FALSE)</f>
        <v>螺纹钢</v>
      </c>
      <c r="F5434" s="121" t="s">
        <v>32</v>
      </c>
      <c r="G5434" s="122">
        <v>10</v>
      </c>
      <c r="H5434" s="135" t="str">
        <f>IF(SUMIFS('[1]2025年已发货'!$E:$E,'[1]2025年已发货'!$F:$F,C5434,'[1]2025年已发货'!$C:$C,F5434,'[1]2025年已发货'!$G:$G,I5434,'[1]2025年已发货'!$H:$H,J5434)=0,"未发货",SUMIFS('[1]2025年已发货'!$E:$E,'[1]2025年已发货'!$F:$F,C5434,'[1]2025年已发货'!$C:$C,F5434,'[1]2025年已发货'!$G:$G,I5434,'[1]2025年已发货'!$H:$H,J5434))</f>
        <v>未发货</v>
      </c>
      <c r="I5434" s="157" t="str">
        <f>VLOOKUP(B5434,辅助信息!E:I,3,FALSE)</f>
        <v>(五冶钢构龙泉东洪片区85亩住宅、商业及配套工程项目一标段)成都市龙泉驿外东洪路地铁2号线惠王陵地铁C口</v>
      </c>
      <c r="J5434" s="121" t="str">
        <f>VLOOKUP(B5434,辅助信息!E:I,4,FALSE)</f>
        <v>岳工</v>
      </c>
      <c r="K5434" s="121">
        <f>VLOOKUP(J5434,辅助信息!H:I,2,FALSE)</f>
        <v>18599951655</v>
      </c>
      <c r="L5434" s="123">
        <f>VLOOKUP(B5434,辅助信息!E:J,6,FALSE)</f>
        <v>0</v>
      </c>
      <c r="O5434" s="63" t="str">
        <f ca="1" t="shared" si="254"/>
        <v/>
      </c>
      <c r="P5434" s="63"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37" t="s">
        <v>225</v>
      </c>
      <c r="C5435" s="71">
        <v>45970</v>
      </c>
      <c r="D5435" s="121" t="str">
        <f>VLOOKUP(B5435,辅助信息!E:K,7,FALSE)</f>
        <v>JWDDCD2025092400210</v>
      </c>
      <c r="E5435" s="121" t="str">
        <f>VLOOKUP(F5435,辅助信息!A:B,2,FALSE)</f>
        <v>螺纹钢</v>
      </c>
      <c r="F5435" s="121" t="s">
        <v>30</v>
      </c>
      <c r="G5435" s="122">
        <v>20</v>
      </c>
      <c r="H5435" s="135" t="str">
        <f>IF(SUMIFS('[1]2025年已发货'!$E:$E,'[1]2025年已发货'!$F:$F,C5435,'[1]2025年已发货'!$C:$C,F5435,'[1]2025年已发货'!$G:$G,I5435,'[1]2025年已发货'!$H:$H,J5435)=0,"未发货",SUMIFS('[1]2025年已发货'!$E:$E,'[1]2025年已发货'!$F:$F,C5435,'[1]2025年已发货'!$C:$C,F5435,'[1]2025年已发货'!$G:$G,I5435,'[1]2025年已发货'!$H:$H,J5435))</f>
        <v>未发货</v>
      </c>
      <c r="I5435" s="157" t="str">
        <f>VLOOKUP(B5435,辅助信息!E:I,3,FALSE)</f>
        <v>(五冶钢构龙泉东洪片区85亩住宅、商业及配套工程项目一标段)成都市龙泉驿外东洪路地铁2号线惠王陵地铁C口</v>
      </c>
      <c r="J5435" s="121" t="str">
        <f>VLOOKUP(B5435,辅助信息!E:I,4,FALSE)</f>
        <v>岳工</v>
      </c>
      <c r="K5435" s="121">
        <f>VLOOKUP(J5435,辅助信息!H:I,2,FALSE)</f>
        <v>18599951655</v>
      </c>
      <c r="L5435" s="123">
        <f>VLOOKUP(B5435,辅助信息!E:J,6,FALSE)</f>
        <v>0</v>
      </c>
      <c r="O5435" s="63" t="str">
        <f ca="1" t="shared" si="254"/>
        <v/>
      </c>
      <c r="P5435" s="63"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37" t="s">
        <v>225</v>
      </c>
      <c r="C5436" s="71">
        <v>45970</v>
      </c>
      <c r="D5436" s="121" t="str">
        <f>VLOOKUP(B5436,辅助信息!E:K,7,FALSE)</f>
        <v>JWDDCD2025092400210</v>
      </c>
      <c r="E5436" s="121" t="str">
        <f>VLOOKUP(F5436,辅助信息!A:B,2,FALSE)</f>
        <v>螺纹钢</v>
      </c>
      <c r="F5436" s="121" t="s">
        <v>33</v>
      </c>
      <c r="G5436" s="122">
        <v>12</v>
      </c>
      <c r="H5436" s="135" t="str">
        <f>IF(SUMIFS('[1]2025年已发货'!$E:$E,'[1]2025年已发货'!$F:$F,C5436,'[1]2025年已发货'!$C:$C,F5436,'[1]2025年已发货'!$G:$G,I5436,'[1]2025年已发货'!$H:$H,J5436)=0,"未发货",SUMIFS('[1]2025年已发货'!$E:$E,'[1]2025年已发货'!$F:$F,C5436,'[1]2025年已发货'!$C:$C,F5436,'[1]2025年已发货'!$G:$G,I5436,'[1]2025年已发货'!$H:$H,J5436))</f>
        <v>未发货</v>
      </c>
      <c r="I5436" s="157" t="str">
        <f>VLOOKUP(B5436,辅助信息!E:I,3,FALSE)</f>
        <v>(五冶钢构龙泉东洪片区85亩住宅、商业及配套工程项目一标段)成都市龙泉驿外东洪路地铁2号线惠王陵地铁C口</v>
      </c>
      <c r="J5436" s="121" t="str">
        <f>VLOOKUP(B5436,辅助信息!E:I,4,FALSE)</f>
        <v>岳工</v>
      </c>
      <c r="K5436" s="121">
        <f>VLOOKUP(J5436,辅助信息!H:I,2,FALSE)</f>
        <v>18599951655</v>
      </c>
      <c r="L5436" s="123">
        <f>VLOOKUP(B5436,辅助信息!E:J,6,FALSE)</f>
        <v>0</v>
      </c>
      <c r="O5436" s="63" t="str">
        <f ca="1" t="shared" si="254"/>
        <v/>
      </c>
      <c r="P5436" s="63"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37" t="s">
        <v>225</v>
      </c>
      <c r="C5437" s="71">
        <v>45970</v>
      </c>
      <c r="D5437" s="121" t="str">
        <f>VLOOKUP(B5437,辅助信息!E:K,7,FALSE)</f>
        <v>JWDDCD2025092400210</v>
      </c>
      <c r="E5437" s="121" t="str">
        <f>VLOOKUP(F5437,辅助信息!A:B,2,FALSE)</f>
        <v>螺纹钢</v>
      </c>
      <c r="F5437" s="121" t="s">
        <v>28</v>
      </c>
      <c r="G5437" s="122">
        <v>12</v>
      </c>
      <c r="H5437" s="135"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7" t="str">
        <f>VLOOKUP(B5437,辅助信息!E:I,3,FALSE)</f>
        <v>(五冶钢构龙泉东洪片区85亩住宅、商业及配套工程项目一标段)成都市龙泉驿外东洪路地铁2号线惠王陵地铁C口</v>
      </c>
      <c r="J5437" s="121" t="str">
        <f>VLOOKUP(B5437,辅助信息!E:I,4,FALSE)</f>
        <v>岳工</v>
      </c>
      <c r="K5437" s="121">
        <f>VLOOKUP(J5437,辅助信息!H:I,2,FALSE)</f>
        <v>18599951655</v>
      </c>
      <c r="L5437" s="123">
        <f>VLOOKUP(B5437,辅助信息!E:J,6,FALSE)</f>
        <v>0</v>
      </c>
      <c r="O5437" s="63" t="str">
        <f ca="1" t="shared" si="254"/>
        <v/>
      </c>
      <c r="P5437" s="63"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37" t="s">
        <v>225</v>
      </c>
      <c r="C5438" s="71">
        <v>45970</v>
      </c>
      <c r="D5438" s="121" t="str">
        <f>VLOOKUP(B5438,辅助信息!E:K,7,FALSE)</f>
        <v>JWDDCD2025092400210</v>
      </c>
      <c r="E5438" s="121" t="str">
        <f>VLOOKUP(F5438,辅助信息!A:B,2,FALSE)</f>
        <v>盘螺</v>
      </c>
      <c r="F5438" s="121" t="s">
        <v>40</v>
      </c>
      <c r="G5438" s="122">
        <v>60</v>
      </c>
      <c r="H5438" s="135"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57" t="str">
        <f>VLOOKUP(B5438,辅助信息!E:I,3,FALSE)</f>
        <v>(五冶钢构龙泉东洪片区85亩住宅、商业及配套工程项目一标段)成都市龙泉驿外东洪路地铁2号线惠王陵地铁C口</v>
      </c>
      <c r="J5438" s="121" t="str">
        <f>VLOOKUP(B5438,辅助信息!E:I,4,FALSE)</f>
        <v>岳工</v>
      </c>
      <c r="K5438" s="121">
        <f>VLOOKUP(J5438,辅助信息!H:I,2,FALSE)</f>
        <v>18599951655</v>
      </c>
      <c r="L5438" s="123">
        <f>VLOOKUP(B5438,辅助信息!E:J,6,FALSE)</f>
        <v>0</v>
      </c>
      <c r="O5438" s="63" t="str">
        <f ca="1" t="shared" si="254"/>
        <v/>
      </c>
      <c r="P5438" s="63"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37" t="s">
        <v>225</v>
      </c>
      <c r="C5439" s="71">
        <v>45970</v>
      </c>
      <c r="D5439" s="121" t="str">
        <f>VLOOKUP(B5439,辅助信息!E:K,7,FALSE)</f>
        <v>JWDDCD2025092400210</v>
      </c>
      <c r="E5439" s="121" t="str">
        <f>VLOOKUP(F5439,辅助信息!A:B,2,FALSE)</f>
        <v>螺纹钢</v>
      </c>
      <c r="F5439" s="121" t="s">
        <v>46</v>
      </c>
      <c r="G5439" s="122">
        <v>8</v>
      </c>
      <c r="H5439" s="135" t="str">
        <f>IF(SUMIFS('[1]2025年已发货'!$E:$E,'[1]2025年已发货'!$F:$F,C5439,'[1]2025年已发货'!$C:$C,F5439,'[1]2025年已发货'!$G:$G,I5439,'[1]2025年已发货'!$H:$H,J5439)=0,"未发货",SUMIFS('[1]2025年已发货'!$E:$E,'[1]2025年已发货'!$F:$F,C5439,'[1]2025年已发货'!$C:$C,F5439,'[1]2025年已发货'!$G:$G,I5439,'[1]2025年已发货'!$H:$H,J5439))</f>
        <v>未发货</v>
      </c>
      <c r="I5439" s="157" t="str">
        <f>VLOOKUP(B5439,辅助信息!E:I,3,FALSE)</f>
        <v>(五冶钢构龙泉东洪片区85亩住宅、商业及配套工程项目一标段)成都市龙泉驿外东洪路地铁2号线惠王陵地铁C口</v>
      </c>
      <c r="J5439" s="121" t="str">
        <f>VLOOKUP(B5439,辅助信息!E:I,4,FALSE)</f>
        <v>岳工</v>
      </c>
      <c r="K5439" s="121">
        <f>VLOOKUP(J5439,辅助信息!H:I,2,FALSE)</f>
        <v>18599951655</v>
      </c>
      <c r="L5439" s="123">
        <f>VLOOKUP(B5439,辅助信息!E:J,6,FALSE)</f>
        <v>0</v>
      </c>
      <c r="O5439" s="63" t="str">
        <f ca="1" t="shared" si="254"/>
        <v/>
      </c>
      <c r="P5439" s="63"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2" t="s">
        <v>244</v>
      </c>
      <c r="B5440" s="137" t="s">
        <v>208</v>
      </c>
      <c r="C5440" s="71">
        <v>45970</v>
      </c>
      <c r="D5440" s="121" t="str">
        <f>VLOOKUP(B5440,辅助信息!E:K,7,FALSE)</f>
        <v>JWDDCD2025102100480</v>
      </c>
      <c r="E5440" s="121" t="str">
        <f>VLOOKUP(F5440,辅助信息!A:B,2,FALSE)</f>
        <v>螺纹钢</v>
      </c>
      <c r="F5440" s="121" t="s">
        <v>76</v>
      </c>
      <c r="G5440" s="122">
        <v>30</v>
      </c>
      <c r="H5440" s="135" t="str">
        <f>IF(SUMIFS('[1]2025年已发货'!$E:$E,'[1]2025年已发货'!$F:$F,C5440,'[1]2025年已发货'!$C:$C,F5440,'[1]2025年已发货'!$G:$G,I5440,'[1]2025年已发货'!$H:$H,J5440)=0,"未发货",SUMIFS('[1]2025年已发货'!$E:$E,'[1]2025年已发货'!$F:$F,C5440,'[1]2025年已发货'!$C:$C,F5440,'[1]2025年已发货'!$G:$G,I5440,'[1]2025年已发货'!$H:$H,J5440))</f>
        <v>未发货</v>
      </c>
      <c r="I5440" s="157" t="str">
        <f>VLOOKUP(B5440,辅助信息!E:I,3,FALSE)</f>
        <v>(五冶建设锦江区林家坝片区20号地块商业项目)锦江区泰昌路锦江28亩项目部</v>
      </c>
      <c r="J5440" s="121" t="str">
        <f>VLOOKUP(B5440,辅助信息!E:I,4,FALSE)</f>
        <v>陶杰</v>
      </c>
      <c r="K5440" s="121">
        <f>VLOOKUP(J5440,辅助信息!H:I,2,FALSE)</f>
        <v>13980247952</v>
      </c>
      <c r="L5440" s="123" t="str">
        <f>VLOOKUP(B5440,辅助信息!E:J,6,FALSE)</f>
        <v>联系实际收货人（陶杰13980247952）五冶建设送货单,6份材质书,锈货不收，装货前联系收货人核实到场规格,没提前告知进场规格现场不给予接收</v>
      </c>
      <c r="O5440" s="63" t="str">
        <f ca="1" t="shared" si="254"/>
        <v/>
      </c>
      <c r="P5440" s="63"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2"/>
      <c r="B5441" s="137" t="s">
        <v>208</v>
      </c>
      <c r="C5441" s="71">
        <v>45970</v>
      </c>
      <c r="D5441" s="121" t="str">
        <f>VLOOKUP(B5441,辅助信息!E:K,7,FALSE)</f>
        <v>JWDDCD2025102100480</v>
      </c>
      <c r="E5441" s="121" t="str">
        <f>VLOOKUP(F5441,辅助信息!A:B,2,FALSE)</f>
        <v>螺纹钢</v>
      </c>
      <c r="F5441" s="121" t="s">
        <v>90</v>
      </c>
      <c r="G5441" s="122">
        <v>15</v>
      </c>
      <c r="H5441" s="135" t="str">
        <f>IF(SUMIFS('[1]2025年已发货'!$E:$E,'[1]2025年已发货'!$F:$F,C5441,'[1]2025年已发货'!$C:$C,F5441,'[1]2025年已发货'!$G:$G,I5441,'[1]2025年已发货'!$H:$H,J5441)=0,"未发货",SUMIFS('[1]2025年已发货'!$E:$E,'[1]2025年已发货'!$F:$F,C5441,'[1]2025年已发货'!$C:$C,F5441,'[1]2025年已发货'!$G:$G,I5441,'[1]2025年已发货'!$H:$H,J5441))</f>
        <v>未发货</v>
      </c>
      <c r="I5441" s="157" t="str">
        <f>VLOOKUP(B5441,辅助信息!E:I,3,FALSE)</f>
        <v>(五冶建设锦江区林家坝片区20号地块商业项目)锦江区泰昌路锦江28亩项目部</v>
      </c>
      <c r="J5441" s="121" t="str">
        <f>VLOOKUP(B5441,辅助信息!E:I,4,FALSE)</f>
        <v>陶杰</v>
      </c>
      <c r="K5441" s="121">
        <f>VLOOKUP(J5441,辅助信息!H:I,2,FALSE)</f>
        <v>13980247952</v>
      </c>
      <c r="L5441" s="123" t="str">
        <f>VLOOKUP(B5441,辅助信息!E:J,6,FALSE)</f>
        <v>联系实际收货人（陶杰13980247952）五冶建设送货单,6份材质书,锈货不收，装货前联系收货人核实到场规格,没提前告知进场规格现场不给予接收</v>
      </c>
      <c r="O5441" s="63" t="str">
        <f ca="1" t="shared" si="254"/>
        <v/>
      </c>
      <c r="P5441" s="63"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2"/>
      <c r="B5442" s="137" t="s">
        <v>208</v>
      </c>
      <c r="C5442" s="71">
        <v>45970</v>
      </c>
      <c r="D5442" s="121" t="str">
        <f>VLOOKUP(B5442,辅助信息!E:K,7,FALSE)</f>
        <v>JWDDCD2025102100480</v>
      </c>
      <c r="E5442" s="121" t="str">
        <f>VLOOKUP(F5442,辅助信息!A:B,2,FALSE)</f>
        <v>螺纹钢</v>
      </c>
      <c r="F5442" s="121" t="s">
        <v>130</v>
      </c>
      <c r="G5442" s="122">
        <v>20</v>
      </c>
      <c r="H5442" s="135" t="str">
        <f>IF(SUMIFS('[1]2025年已发货'!$E:$E,'[1]2025年已发货'!$F:$F,C5442,'[1]2025年已发货'!$C:$C,F5442,'[1]2025年已发货'!$G:$G,I5442,'[1]2025年已发货'!$H:$H,J5442)=0,"未发货",SUMIFS('[1]2025年已发货'!$E:$E,'[1]2025年已发货'!$F:$F,C5442,'[1]2025年已发货'!$C:$C,F5442,'[1]2025年已发货'!$G:$G,I5442,'[1]2025年已发货'!$H:$H,J5442))</f>
        <v>未发货</v>
      </c>
      <c r="I5442" s="157" t="str">
        <f>VLOOKUP(B5442,辅助信息!E:I,3,FALSE)</f>
        <v>(五冶建设锦江区林家坝片区20号地块商业项目)锦江区泰昌路锦江28亩项目部</v>
      </c>
      <c r="J5442" s="121" t="str">
        <f>VLOOKUP(B5442,辅助信息!E:I,4,FALSE)</f>
        <v>陶杰</v>
      </c>
      <c r="K5442" s="121">
        <f>VLOOKUP(J5442,辅助信息!H:I,2,FALSE)</f>
        <v>13980247952</v>
      </c>
      <c r="L5442" s="123" t="str">
        <f>VLOOKUP(B5442,辅助信息!E:J,6,FALSE)</f>
        <v>联系实际收货人（陶杰13980247952）五冶建设送货单,6份材质书,锈货不收，装货前联系收货人核实到场规格,没提前告知进场规格现场不给予接收</v>
      </c>
      <c r="O5442" s="63" t="str">
        <f ca="1" t="shared" si="254"/>
        <v/>
      </c>
      <c r="P5442" s="63"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2"/>
      <c r="B5443" s="137" t="s">
        <v>208</v>
      </c>
      <c r="C5443" s="71">
        <v>45970</v>
      </c>
      <c r="D5443" s="121" t="str">
        <f>VLOOKUP(B5443,辅助信息!E:K,7,FALSE)</f>
        <v>JWDDCD2025102100480</v>
      </c>
      <c r="E5443" s="121" t="str">
        <f>VLOOKUP(F5443,辅助信息!A:B,2,FALSE)</f>
        <v>螺纹钢</v>
      </c>
      <c r="F5443" s="121" t="s">
        <v>91</v>
      </c>
      <c r="G5443" s="122">
        <v>5</v>
      </c>
      <c r="H5443" s="135" t="str">
        <f>IF(SUMIFS('[1]2025年已发货'!$E:$E,'[1]2025年已发货'!$F:$F,C5443,'[1]2025年已发货'!$C:$C,F5443,'[1]2025年已发货'!$G:$G,I5443,'[1]2025年已发货'!$H:$H,J5443)=0,"未发货",SUMIFS('[1]2025年已发货'!$E:$E,'[1]2025年已发货'!$F:$F,C5443,'[1]2025年已发货'!$C:$C,F5443,'[1]2025年已发货'!$G:$G,I5443,'[1]2025年已发货'!$H:$H,J5443))</f>
        <v>未发货</v>
      </c>
      <c r="I5443" s="157" t="str">
        <f>VLOOKUP(B5443,辅助信息!E:I,3,FALSE)</f>
        <v>(五冶建设锦江区林家坝片区20号地块商业项目)锦江区泰昌路锦江28亩项目部</v>
      </c>
      <c r="J5443" s="121" t="str">
        <f>VLOOKUP(B5443,辅助信息!E:I,4,FALSE)</f>
        <v>陶杰</v>
      </c>
      <c r="K5443" s="121">
        <f>VLOOKUP(J5443,辅助信息!H:I,2,FALSE)</f>
        <v>13980247952</v>
      </c>
      <c r="L5443" s="123" t="str">
        <f>VLOOKUP(B5443,辅助信息!E:J,6,FALSE)</f>
        <v>联系实际收货人（陶杰13980247952）五冶建设送货单,6份材质书,锈货不收，装货前联系收货人核实到场规格,没提前告知进场规格现场不给予接收</v>
      </c>
      <c r="O5443" s="63" t="str">
        <f ca="1" t="shared" si="254"/>
        <v/>
      </c>
      <c r="P5443" s="63"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37" t="s">
        <v>243</v>
      </c>
      <c r="C5444" s="71">
        <v>45970</v>
      </c>
      <c r="D5444" s="121" t="str">
        <f>VLOOKUP(B5444,辅助信息!E:K,7,FALSE)</f>
        <v>JWDDCD2025062200016</v>
      </c>
      <c r="E5444" s="121" t="str">
        <f>VLOOKUP(F5444,辅助信息!A:B,2,FALSE)</f>
        <v>螺纹钢</v>
      </c>
      <c r="F5444" s="121" t="s">
        <v>32</v>
      </c>
      <c r="G5444" s="122">
        <v>35</v>
      </c>
      <c r="H5444" s="135" t="str">
        <f>IF(SUMIFS('[1]2025年已发货'!$E:$E,'[1]2025年已发货'!$F:$F,C5444,'[1]2025年已发货'!$C:$C,F5444,'[1]2025年已发货'!$G:$G,I5444,'[1]2025年已发货'!$H:$H,J5444)=0,"未发货",SUMIFS('[1]2025年已发货'!$E:$E,'[1]2025年已发货'!$F:$F,C5444,'[1]2025年已发货'!$C:$C,F5444,'[1]2025年已发货'!$G:$G,I5444,'[1]2025年已发货'!$H:$H,J5444))</f>
        <v>未发货</v>
      </c>
      <c r="I5444" s="157" t="str">
        <f>VLOOKUP(B5444,辅助信息!E:I,3,FALSE)</f>
        <v>(武汉电气化局成达万高铁强电项目-重庆开州)重庆市开州区岳溪镇中心幼儿园东南46米</v>
      </c>
      <c r="J5444" s="121" t="str">
        <f>VLOOKUP(B5444,辅助信息!E:I,4,FALSE)</f>
        <v>杨开洪</v>
      </c>
      <c r="K5444" s="121">
        <f>VLOOKUP(J5444,辅助信息!H:I,2,FALSE)</f>
        <v>18628900044</v>
      </c>
      <c r="L5444" s="123" t="str">
        <f>VLOOKUP(B5444,辅助信息!E:J,6,FALSE)</f>
        <v>锈货不收！！下雨天钢筋没盖篷布不收！！，装货前联系收货人核实到场规格,没提前告知进场规格现场不给予接收</v>
      </c>
      <c r="O5444" s="63" t="str">
        <f ca="1" t="shared" si="254"/>
        <v/>
      </c>
      <c r="P5444" s="63"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37" t="s">
        <v>243</v>
      </c>
      <c r="C5445" s="71">
        <v>45970</v>
      </c>
      <c r="D5445" s="121" t="str">
        <f>VLOOKUP(B5445,辅助信息!E:K,7,FALSE)</f>
        <v>JWDDCD2025062200016</v>
      </c>
      <c r="E5445" s="121" t="str">
        <f>VLOOKUP(F5445,辅助信息!A:B,2,FALSE)</f>
        <v>螺纹钢</v>
      </c>
      <c r="F5445" s="121" t="s">
        <v>18</v>
      </c>
      <c r="G5445" s="122">
        <v>4</v>
      </c>
      <c r="H5445" s="135"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7" t="str">
        <f>VLOOKUP(B5445,辅助信息!E:I,3,FALSE)</f>
        <v>(武汉电气化局成达万高铁强电项目-重庆开州)重庆市开州区岳溪镇中心幼儿园东南46米</v>
      </c>
      <c r="J5445" s="121" t="str">
        <f>VLOOKUP(B5445,辅助信息!E:I,4,FALSE)</f>
        <v>杨开洪</v>
      </c>
      <c r="K5445" s="121">
        <f>VLOOKUP(J5445,辅助信息!H:I,2,FALSE)</f>
        <v>18628900044</v>
      </c>
      <c r="L5445" s="123" t="str">
        <f>VLOOKUP(B5445,辅助信息!E:J,6,FALSE)</f>
        <v>锈货不收！！下雨天钢筋没盖篷布不收！！，装货前联系收货人核实到场规格,没提前告知进场规格现场不给予接收</v>
      </c>
      <c r="O5445" s="63" t="str">
        <f ca="1" t="shared" si="254"/>
        <v/>
      </c>
      <c r="P5445" s="63"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62" t="s">
        <v>228</v>
      </c>
      <c r="C5446" s="71">
        <v>45970</v>
      </c>
      <c r="D5446" s="163" t="str">
        <f>VLOOKUP(B5446,辅助信息!E:K,7,FALSE)</f>
        <v>JWDDCD2025092400190</v>
      </c>
      <c r="E5446" s="163" t="str">
        <f>VLOOKUP(F5446,辅助信息!A:B,2,FALSE)</f>
        <v>螺纹钢</v>
      </c>
      <c r="F5446" s="163" t="s">
        <v>27</v>
      </c>
      <c r="G5446" s="164">
        <v>32</v>
      </c>
      <c r="H5446" s="165"/>
      <c r="I5446" s="166" t="str">
        <f>VLOOKUP(B5446,辅助信息!E:I,3,FALSE)</f>
        <v>(五冶钢构龙泉东洪片区70亩住宅、商业及配套工程项目二标段)成都市龙泉驿外东洪路地铁2号线惠王陵地铁C口</v>
      </c>
      <c r="J5446" s="163" t="str">
        <f>VLOOKUP(B5446,辅助信息!E:I,4,FALSE)</f>
        <v>蒋嗣伟</v>
      </c>
      <c r="K5446" s="163">
        <f>VLOOKUP(J5446,辅助信息!H:I,2,FALSE)</f>
        <v>15014331252</v>
      </c>
      <c r="L5446" s="167">
        <f>VLOOKUP(B5446,辅助信息!E:J,6,FALSE)</f>
        <v>0</v>
      </c>
      <c r="O5446" s="63" t="str">
        <f ca="1">IF(OR(M5446="",N5446&lt;&gt;""),"",MAX(M5446-TODAY(),0))</f>
        <v/>
      </c>
      <c r="P5446" s="63" t="str">
        <f ca="1">IF(M5446="","",IF(N5446&lt;&gt;"",MAX(N5446-M5446,0),IF(TODAY()&gt;M5446,TODAY()-M5446,0)))</f>
        <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62" t="s">
        <v>228</v>
      </c>
      <c r="C5447" s="71">
        <v>45970</v>
      </c>
      <c r="D5447" s="163" t="str">
        <f>VLOOKUP(B5447,辅助信息!E:K,7,FALSE)</f>
        <v>JWDDCD2025092400190</v>
      </c>
      <c r="E5447" s="163" t="str">
        <f>VLOOKUP(F5447,辅助信息!A:B,2,FALSE)</f>
        <v>螺纹钢</v>
      </c>
      <c r="F5447" s="163" t="s">
        <v>19</v>
      </c>
      <c r="G5447" s="164">
        <v>20</v>
      </c>
      <c r="H5447" s="165"/>
      <c r="I5447" s="166" t="str">
        <f>VLOOKUP(B5447,辅助信息!E:I,3,FALSE)</f>
        <v>(五冶钢构龙泉东洪片区70亩住宅、商业及配套工程项目二标段)成都市龙泉驿外东洪路地铁2号线惠王陵地铁C口</v>
      </c>
      <c r="J5447" s="163" t="str">
        <f>VLOOKUP(B5447,辅助信息!E:I,4,FALSE)</f>
        <v>蒋嗣伟</v>
      </c>
      <c r="K5447" s="163">
        <f>VLOOKUP(J5447,辅助信息!H:I,2,FALSE)</f>
        <v>15014331252</v>
      </c>
      <c r="L5447" s="167">
        <f>VLOOKUP(B5447,辅助信息!E:J,6,FALSE)</f>
        <v>0</v>
      </c>
      <c r="O5447" s="63" t="str">
        <f ca="1">IF(OR(M5447="",N5447&lt;&gt;""),"",MAX(M5447-TODAY(),0))</f>
        <v/>
      </c>
      <c r="P5447" s="63" t="str">
        <f ca="1">IF(M5447="","",IF(N5447&lt;&gt;"",MAX(N5447-M5447,0),IF(TODAY()&gt;M5447,TODAY()-M5447,0)))</f>
        <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62" t="s">
        <v>228</v>
      </c>
      <c r="C5448" s="71">
        <v>45970</v>
      </c>
      <c r="D5448" s="163" t="str">
        <f>VLOOKUP(B5448,辅助信息!E:K,7,FALSE)</f>
        <v>JWDDCD2025092400190</v>
      </c>
      <c r="E5448" s="163" t="str">
        <f>VLOOKUP(F5448,辅助信息!A:B,2,FALSE)</f>
        <v>螺纹钢</v>
      </c>
      <c r="F5448" s="163" t="s">
        <v>32</v>
      </c>
      <c r="G5448" s="164">
        <v>27.5</v>
      </c>
      <c r="H5448" s="165"/>
      <c r="I5448" s="166" t="str">
        <f>VLOOKUP(B5448,辅助信息!E:I,3,FALSE)</f>
        <v>(五冶钢构龙泉东洪片区70亩住宅、商业及配套工程项目二标段)成都市龙泉驿外东洪路地铁2号线惠王陵地铁C口</v>
      </c>
      <c r="J5448" s="163" t="str">
        <f>VLOOKUP(B5448,辅助信息!E:I,4,FALSE)</f>
        <v>蒋嗣伟</v>
      </c>
      <c r="K5448" s="163">
        <f>VLOOKUP(J5448,辅助信息!H:I,2,FALSE)</f>
        <v>15014331252</v>
      </c>
      <c r="L5448" s="167">
        <f>VLOOKUP(B5448,辅助信息!E:J,6,FALSE)</f>
        <v>0</v>
      </c>
      <c r="O5448" s="63" t="str">
        <f ca="1">IF(OR(M5448="",N5448&lt;&gt;""),"",MAX(M5448-TODAY(),0))</f>
        <v/>
      </c>
      <c r="P5448" s="63" t="str">
        <f ca="1">IF(M5448="","",IF(N5448&lt;&gt;"",MAX(N5448-M5448,0),IF(TODAY()&gt;M5448,TODAY()-M5448,0)))</f>
        <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62" t="s">
        <v>228</v>
      </c>
      <c r="C5449" s="71">
        <v>45970</v>
      </c>
      <c r="D5449" s="163" t="str">
        <f>VLOOKUP(B5449,辅助信息!E:K,7,FALSE)</f>
        <v>JWDDCD2025092400190</v>
      </c>
      <c r="E5449" s="163" t="str">
        <f>VLOOKUP(F5449,辅助信息!A:B,2,FALSE)</f>
        <v>螺纹钢</v>
      </c>
      <c r="F5449" s="163" t="s">
        <v>30</v>
      </c>
      <c r="G5449" s="164">
        <v>20</v>
      </c>
      <c r="H5449" s="165"/>
      <c r="I5449" s="166" t="str">
        <f>VLOOKUP(B5449,辅助信息!E:I,3,FALSE)</f>
        <v>(五冶钢构龙泉东洪片区70亩住宅、商业及配套工程项目二标段)成都市龙泉驿外东洪路地铁2号线惠王陵地铁C口</v>
      </c>
      <c r="J5449" s="163" t="str">
        <f>VLOOKUP(B5449,辅助信息!E:I,4,FALSE)</f>
        <v>蒋嗣伟</v>
      </c>
      <c r="K5449" s="163">
        <f>VLOOKUP(J5449,辅助信息!H:I,2,FALSE)</f>
        <v>15014331252</v>
      </c>
      <c r="L5449" s="167">
        <f>VLOOKUP(B5449,辅助信息!E:J,6,FALSE)</f>
        <v>0</v>
      </c>
      <c r="O5449" s="63" t="str">
        <f ca="1">IF(OR(M5449="",N5449&lt;&gt;""),"",MAX(M5449-TODAY(),0))</f>
        <v/>
      </c>
      <c r="P5449" s="63" t="str">
        <f ca="1">IF(M5449="","",IF(N5449&lt;&gt;"",MAX(N5449-M5449,0),IF(TODAY()&gt;M5449,TODAY()-M5449,0)))</f>
        <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62" t="s">
        <v>228</v>
      </c>
      <c r="C5450" s="71">
        <v>45970</v>
      </c>
      <c r="D5450" s="163" t="str">
        <f>VLOOKUP(B5450,辅助信息!E:K,7,FALSE)</f>
        <v>JWDDCD2025092400190</v>
      </c>
      <c r="E5450" s="163" t="str">
        <f>VLOOKUP(F5450,辅助信息!A:B,2,FALSE)</f>
        <v>螺纹钢</v>
      </c>
      <c r="F5450" s="163" t="s">
        <v>33</v>
      </c>
      <c r="G5450" s="164">
        <v>15</v>
      </c>
      <c r="H5450" s="165"/>
      <c r="I5450" s="166" t="str">
        <f>VLOOKUP(B5450,辅助信息!E:I,3,FALSE)</f>
        <v>(五冶钢构龙泉东洪片区70亩住宅、商业及配套工程项目二标段)成都市龙泉驿外东洪路地铁2号线惠王陵地铁C口</v>
      </c>
      <c r="J5450" s="163" t="str">
        <f>VLOOKUP(B5450,辅助信息!E:I,4,FALSE)</f>
        <v>蒋嗣伟</v>
      </c>
      <c r="K5450" s="163">
        <f>VLOOKUP(J5450,辅助信息!H:I,2,FALSE)</f>
        <v>15014331252</v>
      </c>
      <c r="L5450" s="167">
        <f>VLOOKUP(B5450,辅助信息!E:J,6,FALSE)</f>
        <v>0</v>
      </c>
      <c r="O5450" s="63" t="str">
        <f ca="1">IF(OR(M5450="",N5450&lt;&gt;""),"",MAX(M5450-TODAY(),0))</f>
        <v/>
      </c>
      <c r="P5450" s="63" t="str">
        <f ca="1">IF(M5450="","",IF(N5450&lt;&gt;"",MAX(N5450-M5450,0),IF(TODAY()&gt;M5450,TODAY()-M5450,0)))</f>
        <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62" t="s">
        <v>228</v>
      </c>
      <c r="C5451" s="71">
        <v>45970</v>
      </c>
      <c r="D5451" s="163" t="str">
        <f>VLOOKUP(B5451,辅助信息!E:K,7,FALSE)</f>
        <v>JWDDCD2025092400190</v>
      </c>
      <c r="E5451" s="163" t="str">
        <f>VLOOKUP(F5451,辅助信息!A:B,2,FALSE)</f>
        <v>螺纹钢</v>
      </c>
      <c r="F5451" s="163" t="s">
        <v>28</v>
      </c>
      <c r="G5451" s="164">
        <v>15</v>
      </c>
      <c r="H5451" s="165"/>
      <c r="I5451" s="166" t="str">
        <f>VLOOKUP(B5451,辅助信息!E:I,3,FALSE)</f>
        <v>(五冶钢构龙泉东洪片区70亩住宅、商业及配套工程项目二标段)成都市龙泉驿外东洪路地铁2号线惠王陵地铁C口</v>
      </c>
      <c r="J5451" s="163" t="str">
        <f>VLOOKUP(B5451,辅助信息!E:I,4,FALSE)</f>
        <v>蒋嗣伟</v>
      </c>
      <c r="K5451" s="163">
        <f>VLOOKUP(J5451,辅助信息!H:I,2,FALSE)</f>
        <v>15014331252</v>
      </c>
      <c r="L5451" s="167">
        <f>VLOOKUP(B5451,辅助信息!E:J,6,FALSE)</f>
        <v>0</v>
      </c>
      <c r="O5451" s="63" t="str">
        <f ca="1">IF(OR(M5451="",N5451&lt;&gt;""),"",MAX(M5451-TODAY(),0))</f>
        <v/>
      </c>
      <c r="P5451" s="63" t="str">
        <f ca="1">IF(M5451="","",IF(N5451&lt;&gt;"",MAX(N5451-M5451,0),IF(TODAY()&gt;M5451,TODAY()-M5451,0)))</f>
        <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62" t="s">
        <v>228</v>
      </c>
      <c r="C5452" s="71">
        <v>45970</v>
      </c>
      <c r="D5452" s="163" t="str">
        <f>VLOOKUP(B5452,辅助信息!E:K,7,FALSE)</f>
        <v>JWDDCD2025092400190</v>
      </c>
      <c r="E5452" s="163" t="str">
        <f>VLOOKUP(F5452,辅助信息!A:B,2,FALSE)</f>
        <v>螺纹钢</v>
      </c>
      <c r="F5452" s="163" t="s">
        <v>18</v>
      </c>
      <c r="G5452" s="164">
        <v>7.5</v>
      </c>
      <c r="H5452" s="165"/>
      <c r="I5452" s="166" t="str">
        <f>VLOOKUP(B5452,辅助信息!E:I,3,FALSE)</f>
        <v>(五冶钢构龙泉东洪片区70亩住宅、商业及配套工程项目二标段)成都市龙泉驿外东洪路地铁2号线惠王陵地铁C口</v>
      </c>
      <c r="J5452" s="163" t="str">
        <f>VLOOKUP(B5452,辅助信息!E:I,4,FALSE)</f>
        <v>蒋嗣伟</v>
      </c>
      <c r="K5452" s="163">
        <f>VLOOKUP(J5452,辅助信息!H:I,2,FALSE)</f>
        <v>15014331252</v>
      </c>
      <c r="L5452" s="167">
        <f>VLOOKUP(B5452,辅助信息!E:J,6,FALSE)</f>
        <v>0</v>
      </c>
      <c r="O5452" s="63" t="str">
        <f ca="1">IF(OR(M5452="",N5452&lt;&gt;""),"",MAX(M5452-TODAY(),0))</f>
        <v/>
      </c>
      <c r="P5452" s="63" t="str">
        <f ca="1">IF(M5452="","",IF(N5452&lt;&gt;"",MAX(N5452-M5452,0),IF(TODAY()&gt;M5452,TODAY()-M5452,0)))</f>
        <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62" t="s">
        <v>228</v>
      </c>
      <c r="C5453" s="71">
        <v>45970</v>
      </c>
      <c r="D5453" s="163" t="str">
        <f>VLOOKUP(B5453,辅助信息!E:K,7,FALSE)</f>
        <v>JWDDCD2025092400190</v>
      </c>
      <c r="E5453" s="163" t="str">
        <f>VLOOKUP(F5453,辅助信息!A:B,2,FALSE)</f>
        <v>螺纹钢</v>
      </c>
      <c r="F5453" s="163" t="s">
        <v>58</v>
      </c>
      <c r="G5453" s="164">
        <v>5</v>
      </c>
      <c r="H5453" s="165"/>
      <c r="I5453" s="166" t="str">
        <f>VLOOKUP(B5453,辅助信息!E:I,3,FALSE)</f>
        <v>(五冶钢构龙泉东洪片区70亩住宅、商业及配套工程项目二标段)成都市龙泉驿外东洪路地铁2号线惠王陵地铁C口</v>
      </c>
      <c r="J5453" s="163" t="str">
        <f>VLOOKUP(B5453,辅助信息!E:I,4,FALSE)</f>
        <v>蒋嗣伟</v>
      </c>
      <c r="K5453" s="163">
        <f>VLOOKUP(J5453,辅助信息!H:I,2,FALSE)</f>
        <v>15014331252</v>
      </c>
      <c r="L5453" s="167">
        <f>VLOOKUP(B5453,辅助信息!E:J,6,FALSE)</f>
        <v>0</v>
      </c>
      <c r="O5453" s="63" t="str">
        <f ca="1">IF(OR(M5453="",N5453&lt;&gt;""),"",MAX(M5453-TODAY(),0))</f>
        <v/>
      </c>
      <c r="P5453" s="63" t="str">
        <f ca="1">IF(M5453="","",IF(N5453&lt;&gt;"",MAX(N5453-M5453,0),IF(TODAY()&gt;M5453,TODAY()-M5453,0)))</f>
        <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62" t="s">
        <v>228</v>
      </c>
      <c r="C5454" s="71">
        <v>45970</v>
      </c>
      <c r="D5454" s="163" t="str">
        <f>VLOOKUP(B5454,辅助信息!E:K,7,FALSE)</f>
        <v>JWDDCD2025092400190</v>
      </c>
      <c r="E5454" s="163" t="str">
        <f>VLOOKUP(F5454,辅助信息!A:B,2,FALSE)</f>
        <v>螺纹钢</v>
      </c>
      <c r="F5454" s="163" t="s">
        <v>46</v>
      </c>
      <c r="G5454" s="164">
        <v>15</v>
      </c>
      <c r="H5454" s="165"/>
      <c r="I5454" s="166" t="str">
        <f>VLOOKUP(B5454,辅助信息!E:I,3,FALSE)</f>
        <v>(五冶钢构龙泉东洪片区70亩住宅、商业及配套工程项目二标段)成都市龙泉驿外东洪路地铁2号线惠王陵地铁C口</v>
      </c>
      <c r="J5454" s="163" t="str">
        <f>VLOOKUP(B5454,辅助信息!E:I,4,FALSE)</f>
        <v>蒋嗣伟</v>
      </c>
      <c r="K5454" s="163">
        <f>VLOOKUP(J5454,辅助信息!H:I,2,FALSE)</f>
        <v>15014331252</v>
      </c>
      <c r="L5454" s="167">
        <f>VLOOKUP(B5454,辅助信息!E:J,6,FALSE)</f>
        <v>0</v>
      </c>
      <c r="O5454" s="63" t="str">
        <f ca="1">IF(OR(M5454="",N5454&lt;&gt;""),"",MAX(M5454-TODAY(),0))</f>
        <v/>
      </c>
      <c r="P5454" s="63" t="str">
        <f ca="1">IF(M5454="","",IF(N5454&lt;&gt;"",MAX(N5454-M5454,0),IF(TODAY()&gt;M5454,TODAY()-M5454,0)))</f>
        <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62" t="s">
        <v>228</v>
      </c>
      <c r="C5455" s="71">
        <v>45970</v>
      </c>
      <c r="D5455" s="163" t="str">
        <f>VLOOKUP(B5455,辅助信息!E:K,7,FALSE)</f>
        <v>JWDDCD2025092400190</v>
      </c>
      <c r="E5455" s="163" t="str">
        <f>VLOOKUP(F5455,辅助信息!A:B,2,FALSE)</f>
        <v>螺纹钢</v>
      </c>
      <c r="F5455" s="163" t="s">
        <v>22</v>
      </c>
      <c r="G5455" s="164">
        <v>17.5</v>
      </c>
      <c r="H5455" s="165"/>
      <c r="I5455" s="166" t="str">
        <f>VLOOKUP(B5455,辅助信息!E:I,3,FALSE)</f>
        <v>(五冶钢构龙泉东洪片区70亩住宅、商业及配套工程项目二标段)成都市龙泉驿外东洪路地铁2号线惠王陵地铁C口</v>
      </c>
      <c r="J5455" s="163" t="str">
        <f>VLOOKUP(B5455,辅助信息!E:I,4,FALSE)</f>
        <v>蒋嗣伟</v>
      </c>
      <c r="K5455" s="163">
        <f>VLOOKUP(J5455,辅助信息!H:I,2,FALSE)</f>
        <v>15014331252</v>
      </c>
      <c r="L5455" s="167">
        <f>VLOOKUP(B5455,辅助信息!E:J,6,FALSE)</f>
        <v>0</v>
      </c>
      <c r="O5455" s="63" t="str">
        <f ca="1">IF(OR(M5455="",N5455&lt;&gt;""),"",MAX(M5455-TODAY(),0))</f>
        <v/>
      </c>
      <c r="P5455" s="63" t="str">
        <f ca="1">IF(M5455="","",IF(N5455&lt;&gt;"",MAX(N5455-M5455,0),IF(TODAY()&gt;M5455,TODAY()-M5455,0)))</f>
        <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62" t="s">
        <v>226</v>
      </c>
      <c r="C5456" s="71">
        <v>45970</v>
      </c>
      <c r="D5456" s="163" t="str">
        <f>VLOOKUP(B5456,辅助信息!E:K,7,FALSE)</f>
        <v>JWDDCD2025092400211</v>
      </c>
      <c r="E5456" s="163" t="str">
        <f>VLOOKUP(F5456,辅助信息!A:B,2,FALSE)</f>
        <v>盘螺</v>
      </c>
      <c r="F5456" s="163" t="s">
        <v>40</v>
      </c>
      <c r="G5456" s="164">
        <v>45</v>
      </c>
      <c r="H5456" s="165"/>
      <c r="I5456" s="166" t="str">
        <f>VLOOKUP(B5456,辅助信息!E:I,3,FALSE)</f>
        <v>(五冶钢构龙泉东洪片区85亩住宅、商业及配套工程项目二标段)成都市龙泉驿外东洪路地铁2号线惠王陵地铁C口</v>
      </c>
      <c r="J5456" s="163" t="str">
        <f>VLOOKUP(B5456,辅助信息!E:I,4,FALSE)</f>
        <v>李渊</v>
      </c>
      <c r="K5456" s="163">
        <f>VLOOKUP(J5456,辅助信息!H:I,2,FALSE)</f>
        <v>18381013849</v>
      </c>
      <c r="L5456" s="167">
        <f>VLOOKUP(B5456,辅助信息!E:J,6,FALSE)</f>
        <v>0</v>
      </c>
      <c r="O5456" s="63" t="str">
        <f ca="1">IF(OR(M5456="",N5456&lt;&gt;""),"",MAX(M5456-TODAY(),0))</f>
        <v/>
      </c>
      <c r="P5456" s="63" t="str">
        <f ca="1">IF(M5456="","",IF(N5456&lt;&gt;"",MAX(N5456-M5456,0),IF(TODAY()&gt;M5456,TODAY()-M5456,0)))</f>
        <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62" t="s">
        <v>226</v>
      </c>
      <c r="C5457" s="71">
        <v>45970</v>
      </c>
      <c r="D5457" s="163" t="str">
        <f>VLOOKUP(B5457,辅助信息!E:K,7,FALSE)</f>
        <v>JWDDCD2025092400211</v>
      </c>
      <c r="E5457" s="163" t="str">
        <f>VLOOKUP(F5457,辅助信息!A:B,2,FALSE)</f>
        <v>盘螺</v>
      </c>
      <c r="F5457" s="163" t="s">
        <v>41</v>
      </c>
      <c r="G5457" s="164">
        <v>25</v>
      </c>
      <c r="H5457" s="165"/>
      <c r="I5457" s="166" t="str">
        <f>VLOOKUP(B5457,辅助信息!E:I,3,FALSE)</f>
        <v>(五冶钢构龙泉东洪片区85亩住宅、商业及配套工程项目二标段)成都市龙泉驿外东洪路地铁2号线惠王陵地铁C口</v>
      </c>
      <c r="J5457" s="163" t="str">
        <f>VLOOKUP(B5457,辅助信息!E:I,4,FALSE)</f>
        <v>李渊</v>
      </c>
      <c r="K5457" s="163">
        <f>VLOOKUP(J5457,辅助信息!H:I,2,FALSE)</f>
        <v>18381013849</v>
      </c>
      <c r="L5457" s="167">
        <f>VLOOKUP(B5457,辅助信息!E:J,6,FALSE)</f>
        <v>0</v>
      </c>
      <c r="O5457" s="63" t="str">
        <f ca="1">IF(OR(M5457="",N5457&lt;&gt;""),"",MAX(M5457-TODAY(),0))</f>
        <v/>
      </c>
      <c r="P5457" s="63" t="str">
        <f ca="1">IF(M5457="","",IF(N5457&lt;&gt;"",MAX(N5457-M5457,0),IF(TODAY()&gt;M5457,TODAY()-M5457,0)))</f>
        <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62" t="s">
        <v>226</v>
      </c>
      <c r="C5458" s="71">
        <v>45970</v>
      </c>
      <c r="D5458" s="163" t="str">
        <f>VLOOKUP(B5458,辅助信息!E:K,7,FALSE)</f>
        <v>JWDDCD2025092400211</v>
      </c>
      <c r="E5458" s="163" t="str">
        <f>VLOOKUP(F5458,辅助信息!A:B,2,FALSE)</f>
        <v>螺纹钢</v>
      </c>
      <c r="F5458" s="163" t="s">
        <v>30</v>
      </c>
      <c r="G5458" s="164">
        <v>20</v>
      </c>
      <c r="H5458" s="165"/>
      <c r="I5458" s="166" t="str">
        <f>VLOOKUP(B5458,辅助信息!E:I,3,FALSE)</f>
        <v>(五冶钢构龙泉东洪片区85亩住宅、商业及配套工程项目二标段)成都市龙泉驿外东洪路地铁2号线惠王陵地铁C口</v>
      </c>
      <c r="J5458" s="163" t="str">
        <f>VLOOKUP(B5458,辅助信息!E:I,4,FALSE)</f>
        <v>李渊</v>
      </c>
      <c r="K5458" s="163">
        <f>VLOOKUP(J5458,辅助信息!H:I,2,FALSE)</f>
        <v>18381013849</v>
      </c>
      <c r="L5458" s="167">
        <f>VLOOKUP(B5458,辅助信息!E:J,6,FALSE)</f>
        <v>0</v>
      </c>
      <c r="O5458" s="63" t="str">
        <f ca="1">IF(OR(M5458="",N5458&lt;&gt;""),"",MAX(M5458-TODAY(),0))</f>
        <v/>
      </c>
      <c r="P5458" s="63" t="str">
        <f ca="1">IF(M5458="","",IF(N5458&lt;&gt;"",MAX(N5458-M5458,0),IF(TODAY()&gt;M5458,TODAY()-M5458,0)))</f>
        <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62" t="s">
        <v>226</v>
      </c>
      <c r="C5459" s="71">
        <v>45970</v>
      </c>
      <c r="D5459" s="163" t="str">
        <f>VLOOKUP(B5459,辅助信息!E:K,7,FALSE)</f>
        <v>JWDDCD2025092400211</v>
      </c>
      <c r="E5459" s="163" t="str">
        <f>VLOOKUP(F5459,辅助信息!A:B,2,FALSE)</f>
        <v>螺纹钢</v>
      </c>
      <c r="F5459" s="163" t="s">
        <v>33</v>
      </c>
      <c r="G5459" s="164">
        <v>15</v>
      </c>
      <c r="H5459" s="165"/>
      <c r="I5459" s="166" t="str">
        <f>VLOOKUP(B5459,辅助信息!E:I,3,FALSE)</f>
        <v>(五冶钢构龙泉东洪片区85亩住宅、商业及配套工程项目二标段)成都市龙泉驿外东洪路地铁2号线惠王陵地铁C口</v>
      </c>
      <c r="J5459" s="163" t="str">
        <f>VLOOKUP(B5459,辅助信息!E:I,4,FALSE)</f>
        <v>李渊</v>
      </c>
      <c r="K5459" s="163">
        <f>VLOOKUP(J5459,辅助信息!H:I,2,FALSE)</f>
        <v>18381013849</v>
      </c>
      <c r="L5459" s="167">
        <f>VLOOKUP(B5459,辅助信息!E:J,6,FALSE)</f>
        <v>0</v>
      </c>
      <c r="O5459" s="63" t="str">
        <f ca="1">IF(OR(M5459="",N5459&lt;&gt;""),"",MAX(M5459-TODAY(),0))</f>
        <v/>
      </c>
      <c r="P5459" s="63" t="str">
        <f ca="1">IF(M5459="","",IF(N5459&lt;&gt;"",MAX(N5459-M5459,0),IF(TODAY()&gt;M5459,TODAY()-M5459,0)))</f>
        <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62" t="s">
        <v>240</v>
      </c>
      <c r="C5460" s="71">
        <v>45970</v>
      </c>
      <c r="D5460" s="163" t="str">
        <f>VLOOKUP(B5460,辅助信息!E:K,7,FALSE)</f>
        <v>JWDDCD2025092400204</v>
      </c>
      <c r="E5460" s="163" t="str">
        <f>VLOOKUP(F5460,辅助信息!A:B,2,FALSE)</f>
        <v>螺纹钢</v>
      </c>
      <c r="F5460" s="163" t="s">
        <v>27</v>
      </c>
      <c r="G5460" s="164">
        <v>20</v>
      </c>
      <c r="H5460" s="165"/>
      <c r="I5460" s="166" t="str">
        <f>VLOOKUP(B5460,辅助信息!E:I,3,FALSE)</f>
        <v>(五冶钢构龙泉东洪片区70亩住宅、商业及配套工程项目三标段)成都市龙泉驿外东洪路地铁2号线惠王陵地铁C口</v>
      </c>
      <c r="J5460" s="163" t="str">
        <f>VLOOKUP(B5460,辅助信息!E:I,4,FALSE)</f>
        <v>蒋嗣伟</v>
      </c>
      <c r="K5460" s="163">
        <f>VLOOKUP(J5460,辅助信息!H:I,2,FALSE)</f>
        <v>15014331252</v>
      </c>
      <c r="L5460" s="167">
        <f>VLOOKUP(B5460,辅助信息!E:J,6,FALSE)</f>
        <v>0</v>
      </c>
      <c r="O5460" s="63" t="str">
        <f ca="1">IF(OR(M5460="",N5460&lt;&gt;""),"",MAX(M5460-TODAY(),0))</f>
        <v/>
      </c>
      <c r="P5460" s="63" t="str">
        <f ca="1">IF(M5460="","",IF(N5460&lt;&gt;"",MAX(N5460-M5460,0),IF(TODAY()&gt;M5460,TODAY()-M5460,0)))</f>
        <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62" t="s">
        <v>240</v>
      </c>
      <c r="C5461" s="71">
        <v>45970</v>
      </c>
      <c r="D5461" s="163" t="str">
        <f>VLOOKUP(B5461,辅助信息!E:K,7,FALSE)</f>
        <v>JWDDCD2025092400204</v>
      </c>
      <c r="E5461" s="163" t="str">
        <f>VLOOKUP(F5461,辅助信息!A:B,2,FALSE)</f>
        <v>螺纹钢</v>
      </c>
      <c r="F5461" s="163" t="s">
        <v>30</v>
      </c>
      <c r="G5461" s="164">
        <v>7.5</v>
      </c>
      <c r="H5461" s="165"/>
      <c r="I5461" s="166" t="str">
        <f>VLOOKUP(B5461,辅助信息!E:I,3,FALSE)</f>
        <v>(五冶钢构龙泉东洪片区70亩住宅、商业及配套工程项目三标段)成都市龙泉驿外东洪路地铁2号线惠王陵地铁C口</v>
      </c>
      <c r="J5461" s="163" t="str">
        <f>VLOOKUP(B5461,辅助信息!E:I,4,FALSE)</f>
        <v>蒋嗣伟</v>
      </c>
      <c r="K5461" s="163">
        <f>VLOOKUP(J5461,辅助信息!H:I,2,FALSE)</f>
        <v>15014331252</v>
      </c>
      <c r="L5461" s="167">
        <f>VLOOKUP(B5461,辅助信息!E:J,6,FALSE)</f>
        <v>0</v>
      </c>
      <c r="O5461" s="63" t="str">
        <f ca="1">IF(OR(M5461="",N5461&lt;&gt;""),"",MAX(M5461-TODAY(),0))</f>
        <v/>
      </c>
      <c r="P5461" s="63" t="str">
        <f ca="1">IF(M5461="","",IF(N5461&lt;&gt;"",MAX(N5461-M5461,0),IF(TODAY()&gt;M5461,TODAY()-M5461,0)))</f>
        <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62" t="s">
        <v>240</v>
      </c>
      <c r="C5462" s="71">
        <v>45970</v>
      </c>
      <c r="D5462" s="163" t="str">
        <f>VLOOKUP(B5462,辅助信息!E:K,7,FALSE)</f>
        <v>JWDDCD2025092400204</v>
      </c>
      <c r="E5462" s="163" t="str">
        <f>VLOOKUP(F5462,辅助信息!A:B,2,FALSE)</f>
        <v>螺纹钢</v>
      </c>
      <c r="F5462" s="163" t="s">
        <v>33</v>
      </c>
      <c r="G5462" s="164">
        <v>7.5</v>
      </c>
      <c r="H5462" s="165"/>
      <c r="I5462" s="166" t="str">
        <f>VLOOKUP(B5462,辅助信息!E:I,3,FALSE)</f>
        <v>(五冶钢构龙泉东洪片区70亩住宅、商业及配套工程项目三标段)成都市龙泉驿外东洪路地铁2号线惠王陵地铁C口</v>
      </c>
      <c r="J5462" s="163" t="str">
        <f>VLOOKUP(B5462,辅助信息!E:I,4,FALSE)</f>
        <v>蒋嗣伟</v>
      </c>
      <c r="K5462" s="163">
        <f>VLOOKUP(J5462,辅助信息!H:I,2,FALSE)</f>
        <v>15014331252</v>
      </c>
      <c r="L5462" s="167">
        <f>VLOOKUP(B5462,辅助信息!E:J,6,FALSE)</f>
        <v>0</v>
      </c>
      <c r="O5462" s="63" t="str">
        <f ca="1">IF(OR(M5462="",N5462&lt;&gt;""),"",MAX(M5462-TODAY(),0))</f>
        <v/>
      </c>
      <c r="P5462" s="63" t="str">
        <f ca="1">IF(M5462="","",IF(N5462&lt;&gt;"",MAX(N5462-M5462,0),IF(TODAY()&gt;M5462,TODAY()-M5462,0)))</f>
        <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sheetData>
  <protectedRanges>
    <protectedRange sqref="M3348:M3353" name="区域1"/>
  </protectedRanges>
  <autoFilter ref="A1:Q5445">
    <filterColumn colId="2">
      <filters>
        <dateGroupItem year="2025" month="11" day="9" dateTimeGrouping="day"/>
      </filters>
    </filterColumn>
    <extLst/>
  </autoFilter>
  <mergeCells count="331">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5455:H5457">
    <cfRule type="expression" dxfId="4" priority="9310">
      <formula>AND(NOT(HasFormula(D5458)),D5458&lt;&gt;"")</formula>
    </cfRule>
    <cfRule type="expression" dxfId="3" priority="9311">
      <formula>AND(NOT(HasFormula(XFD5455)),XFD5455&lt;&gt;"")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5454 H5458: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9" workbookViewId="0">
      <pane xSplit="2" topLeftCell="D1" activePane="topRight" state="frozen"/>
      <selection/>
      <selection pane="topRight" activeCell="E64" sqref="E64"/>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245</v>
      </c>
      <c r="F1" s="35" t="s">
        <v>246</v>
      </c>
      <c r="G1" s="34" t="s">
        <v>7</v>
      </c>
      <c r="H1" s="35" t="s">
        <v>8</v>
      </c>
      <c r="I1" s="35" t="s">
        <v>9</v>
      </c>
      <c r="J1" s="35" t="s">
        <v>247</v>
      </c>
      <c r="K1" s="32" t="s">
        <v>2</v>
      </c>
      <c r="L1" s="47" t="s">
        <v>248</v>
      </c>
      <c r="M1" s="32" t="s">
        <v>15</v>
      </c>
    </row>
    <row r="2" spans="1:13">
      <c r="A2" s="36" t="s">
        <v>57</v>
      </c>
      <c r="B2" s="36" t="s">
        <v>249</v>
      </c>
      <c r="C2" s="37"/>
      <c r="D2" s="38" t="s">
        <v>250</v>
      </c>
      <c r="E2" s="39" t="s">
        <v>250</v>
      </c>
      <c r="F2" s="40" t="s">
        <v>251</v>
      </c>
      <c r="G2" s="39" t="s">
        <v>252</v>
      </c>
      <c r="H2" s="40" t="s">
        <v>253</v>
      </c>
      <c r="I2" s="40">
        <v>18980927613</v>
      </c>
      <c r="J2" s="45" t="s">
        <v>254</v>
      </c>
      <c r="K2" s="48"/>
      <c r="L2" s="47"/>
      <c r="M2" s="47"/>
    </row>
    <row r="3" spans="1:13">
      <c r="A3" s="36" t="s">
        <v>53</v>
      </c>
      <c r="B3" s="36" t="s">
        <v>249</v>
      </c>
      <c r="C3" s="37"/>
      <c r="D3" s="38" t="s">
        <v>255</v>
      </c>
      <c r="E3" s="39" t="s">
        <v>255</v>
      </c>
      <c r="F3" s="40" t="s">
        <v>256</v>
      </c>
      <c r="G3" s="39" t="s">
        <v>257</v>
      </c>
      <c r="H3" s="40" t="s">
        <v>258</v>
      </c>
      <c r="I3" s="40">
        <v>18308463588</v>
      </c>
      <c r="J3" s="45" t="s">
        <v>259</v>
      </c>
      <c r="K3" s="48"/>
      <c r="L3" s="47"/>
      <c r="M3" s="47"/>
    </row>
    <row r="4" spans="1:13">
      <c r="A4" s="36" t="s">
        <v>51</v>
      </c>
      <c r="B4" s="36" t="s">
        <v>249</v>
      </c>
      <c r="C4" s="37"/>
      <c r="D4" s="38" t="s">
        <v>260</v>
      </c>
      <c r="E4" s="39" t="s">
        <v>260</v>
      </c>
      <c r="F4" s="40" t="s">
        <v>261</v>
      </c>
      <c r="G4" s="41" t="s">
        <v>262</v>
      </c>
      <c r="H4" s="40" t="s">
        <v>263</v>
      </c>
      <c r="I4" s="40">
        <v>18683358310</v>
      </c>
      <c r="J4" s="45" t="s">
        <v>264</v>
      </c>
      <c r="K4" s="48"/>
      <c r="L4" s="47"/>
      <c r="M4" s="47"/>
    </row>
    <row r="5" spans="1:13">
      <c r="A5" s="36" t="s">
        <v>61</v>
      </c>
      <c r="B5" s="36" t="s">
        <v>249</v>
      </c>
      <c r="C5" s="37"/>
      <c r="D5" s="38" t="s">
        <v>44</v>
      </c>
      <c r="E5" s="39" t="s">
        <v>44</v>
      </c>
      <c r="F5" s="40" t="s">
        <v>265</v>
      </c>
      <c r="G5" s="39" t="s">
        <v>266</v>
      </c>
      <c r="H5" s="40" t="s">
        <v>267</v>
      </c>
      <c r="I5" s="40">
        <v>18384145895</v>
      </c>
      <c r="J5" s="45" t="s">
        <v>268</v>
      </c>
      <c r="K5" s="49" t="s">
        <v>269</v>
      </c>
      <c r="L5" s="47"/>
      <c r="M5" s="39" t="s">
        <v>270</v>
      </c>
    </row>
    <row r="6" spans="1:13">
      <c r="A6" s="40"/>
      <c r="B6" s="40"/>
      <c r="C6" s="37"/>
      <c r="D6" s="38" t="s">
        <v>81</v>
      </c>
      <c r="E6" s="39" t="s">
        <v>81</v>
      </c>
      <c r="F6" s="40" t="s">
        <v>271</v>
      </c>
      <c r="G6" s="39" t="s">
        <v>272</v>
      </c>
      <c r="H6" s="40" t="s">
        <v>273</v>
      </c>
      <c r="I6" s="40">
        <v>15884666220</v>
      </c>
      <c r="J6" s="45" t="s">
        <v>274</v>
      </c>
      <c r="K6" s="49" t="s">
        <v>275</v>
      </c>
      <c r="L6" s="47"/>
      <c r="M6" s="39" t="s">
        <v>276</v>
      </c>
    </row>
    <row r="7" spans="1:13">
      <c r="A7" s="36" t="s">
        <v>49</v>
      </c>
      <c r="B7" s="36" t="s">
        <v>119</v>
      </c>
      <c r="C7" s="37"/>
      <c r="D7" s="38" t="s">
        <v>277</v>
      </c>
      <c r="E7" s="39" t="s">
        <v>277</v>
      </c>
      <c r="F7" s="40" t="s">
        <v>278</v>
      </c>
      <c r="G7" s="39" t="s">
        <v>279</v>
      </c>
      <c r="H7" s="40" t="s">
        <v>280</v>
      </c>
      <c r="I7" s="40">
        <v>18180498749</v>
      </c>
      <c r="J7" s="45" t="s">
        <v>281</v>
      </c>
      <c r="K7" s="50" t="s">
        <v>282</v>
      </c>
      <c r="L7" s="47"/>
      <c r="M7" s="47"/>
    </row>
    <row r="8" spans="1:13">
      <c r="A8" s="36" t="s">
        <v>40</v>
      </c>
      <c r="B8" s="36" t="s">
        <v>119</v>
      </c>
      <c r="C8" s="37"/>
      <c r="D8" s="38" t="s">
        <v>92</v>
      </c>
      <c r="E8" s="39" t="s">
        <v>92</v>
      </c>
      <c r="F8" s="40" t="s">
        <v>283</v>
      </c>
      <c r="G8" s="39" t="s">
        <v>284</v>
      </c>
      <c r="H8" s="40" t="s">
        <v>285</v>
      </c>
      <c r="I8" s="40">
        <v>13458642015</v>
      </c>
      <c r="J8" s="45" t="s">
        <v>286</v>
      </c>
      <c r="K8" s="49" t="s">
        <v>287</v>
      </c>
      <c r="L8" s="47"/>
      <c r="M8" s="39" t="s">
        <v>288</v>
      </c>
    </row>
    <row r="9" spans="1:13">
      <c r="A9" s="36" t="s">
        <v>41</v>
      </c>
      <c r="B9" s="36" t="s">
        <v>119</v>
      </c>
      <c r="C9" s="37"/>
      <c r="D9" s="38" t="s">
        <v>289</v>
      </c>
      <c r="E9" s="42" t="s">
        <v>48</v>
      </c>
      <c r="F9" s="40" t="s">
        <v>283</v>
      </c>
      <c r="G9" s="39" t="str">
        <f>"("&amp;(E9)&amp;")"&amp;"成都市简阳市白金山水库"</f>
        <v>(华西颐海-科创农业生态谷-1号钢筋房)成都市简阳市白金山水库</v>
      </c>
      <c r="H9" s="40" t="s">
        <v>285</v>
      </c>
      <c r="I9" s="40">
        <v>13458642015</v>
      </c>
      <c r="J9" s="45" t="s">
        <v>286</v>
      </c>
      <c r="K9" s="49" t="s">
        <v>290</v>
      </c>
      <c r="L9" s="47"/>
      <c r="M9" s="39" t="s">
        <v>291</v>
      </c>
    </row>
    <row r="10" spans="1:13">
      <c r="A10" s="36" t="s">
        <v>26</v>
      </c>
      <c r="B10" s="36" t="s">
        <v>119</v>
      </c>
      <c r="C10" s="37"/>
      <c r="D10" s="38" t="s">
        <v>289</v>
      </c>
      <c r="E10" s="42" t="s">
        <v>292</v>
      </c>
      <c r="F10" s="40" t="s">
        <v>283</v>
      </c>
      <c r="G10" s="39" t="str">
        <f>"("&amp;(E10)&amp;")"&amp;"成都市简阳市白金山水库"</f>
        <v>(华西颐海-科创农业生态谷-2号钢筋房)成都市简阳市白金山水库</v>
      </c>
      <c r="H10" s="40" t="s">
        <v>285</v>
      </c>
      <c r="I10" s="40">
        <v>13458642015</v>
      </c>
      <c r="J10" s="45" t="s">
        <v>286</v>
      </c>
      <c r="K10" s="49" t="s">
        <v>290</v>
      </c>
      <c r="L10" s="47"/>
      <c r="M10" s="39" t="s">
        <v>291</v>
      </c>
    </row>
    <row r="11" spans="1:13">
      <c r="A11" s="36"/>
      <c r="B11" s="36"/>
      <c r="C11" s="37"/>
      <c r="D11" s="38" t="s">
        <v>293</v>
      </c>
      <c r="E11" s="39" t="s">
        <v>293</v>
      </c>
      <c r="F11" s="40" t="s">
        <v>294</v>
      </c>
      <c r="G11" s="39" t="s">
        <v>295</v>
      </c>
      <c r="H11" s="40" t="s">
        <v>296</v>
      </c>
      <c r="I11" s="40">
        <v>18683201292</v>
      </c>
      <c r="J11" s="45" t="s">
        <v>268</v>
      </c>
      <c r="K11" s="49" t="s">
        <v>297</v>
      </c>
      <c r="L11" s="47"/>
      <c r="M11" s="39" t="s">
        <v>298</v>
      </c>
    </row>
    <row r="12" spans="1:13">
      <c r="A12" s="36" t="s">
        <v>27</v>
      </c>
      <c r="B12" s="36" t="s">
        <v>116</v>
      </c>
      <c r="C12" s="37"/>
      <c r="D12" s="38" t="s">
        <v>299</v>
      </c>
      <c r="E12" s="39" t="s">
        <v>299</v>
      </c>
      <c r="F12" s="40" t="s">
        <v>300</v>
      </c>
      <c r="G12" s="39" t="s">
        <v>301</v>
      </c>
      <c r="H12" s="40" t="s">
        <v>302</v>
      </c>
      <c r="I12" s="40">
        <v>19982812229</v>
      </c>
      <c r="J12" s="45"/>
      <c r="K12" s="49" t="s">
        <v>303</v>
      </c>
      <c r="L12" s="47"/>
      <c r="M12" s="39"/>
    </row>
    <row r="13" spans="1:13">
      <c r="A13" s="36" t="s">
        <v>19</v>
      </c>
      <c r="B13" s="36" t="s">
        <v>116</v>
      </c>
      <c r="C13" s="37"/>
      <c r="D13" s="38" t="s">
        <v>145</v>
      </c>
      <c r="E13" s="39" t="s">
        <v>145</v>
      </c>
      <c r="F13" s="40" t="s">
        <v>304</v>
      </c>
      <c r="G13" s="39" t="s">
        <v>305</v>
      </c>
      <c r="H13" s="40" t="s">
        <v>306</v>
      </c>
      <c r="I13" s="40">
        <v>15528785906</v>
      </c>
      <c r="J13" s="45" t="s">
        <v>307</v>
      </c>
      <c r="K13" s="49" t="s">
        <v>308</v>
      </c>
      <c r="L13" s="47"/>
      <c r="M13" s="39"/>
    </row>
    <row r="14" spans="1:13">
      <c r="A14" s="36" t="s">
        <v>32</v>
      </c>
      <c r="B14" s="36" t="s">
        <v>116</v>
      </c>
      <c r="C14" s="37"/>
      <c r="D14" s="38" t="s">
        <v>309</v>
      </c>
      <c r="E14" s="39" t="s">
        <v>47</v>
      </c>
      <c r="F14" s="40" t="s">
        <v>310</v>
      </c>
      <c r="G14" s="39" t="s">
        <v>311</v>
      </c>
      <c r="H14" s="43" t="s">
        <v>312</v>
      </c>
      <c r="I14" s="40">
        <v>15108211617</v>
      </c>
      <c r="J14" s="45" t="s">
        <v>313</v>
      </c>
      <c r="K14" s="49" t="s">
        <v>314</v>
      </c>
      <c r="L14" s="47"/>
      <c r="M14" s="39" t="s">
        <v>315</v>
      </c>
    </row>
    <row r="15" spans="1:13">
      <c r="A15" s="36" t="s">
        <v>30</v>
      </c>
      <c r="B15" s="36" t="s">
        <v>116</v>
      </c>
      <c r="C15" s="37"/>
      <c r="D15" s="38" t="s">
        <v>309</v>
      </c>
      <c r="E15" s="39" t="s">
        <v>68</v>
      </c>
      <c r="F15" s="40" t="s">
        <v>310</v>
      </c>
      <c r="G15" s="39" t="s">
        <v>316</v>
      </c>
      <c r="H15" s="43" t="s">
        <v>317</v>
      </c>
      <c r="I15" s="40">
        <v>18381899787</v>
      </c>
      <c r="J15" s="45" t="s">
        <v>313</v>
      </c>
      <c r="K15" s="49" t="s">
        <v>314</v>
      </c>
      <c r="L15" s="47"/>
      <c r="M15" s="39" t="s">
        <v>315</v>
      </c>
    </row>
    <row r="16" spans="1:13">
      <c r="A16" s="36" t="s">
        <v>33</v>
      </c>
      <c r="B16" s="36" t="s">
        <v>116</v>
      </c>
      <c r="C16" s="37"/>
      <c r="D16" s="38" t="s">
        <v>309</v>
      </c>
      <c r="E16" s="39" t="s">
        <v>232</v>
      </c>
      <c r="F16" s="40" t="s">
        <v>310</v>
      </c>
      <c r="G16" s="39" t="s">
        <v>318</v>
      </c>
      <c r="H16" s="43" t="s">
        <v>317</v>
      </c>
      <c r="I16" s="40">
        <v>18381899787</v>
      </c>
      <c r="J16" s="45" t="s">
        <v>313</v>
      </c>
      <c r="K16" s="49" t="s">
        <v>314</v>
      </c>
      <c r="L16" s="47"/>
      <c r="M16" s="39" t="s">
        <v>315</v>
      </c>
    </row>
    <row r="17" spans="1:13">
      <c r="A17" s="36" t="s">
        <v>28</v>
      </c>
      <c r="B17" s="36" t="s">
        <v>116</v>
      </c>
      <c r="C17" s="37"/>
      <c r="D17" s="38" t="s">
        <v>309</v>
      </c>
      <c r="E17" s="39" t="s">
        <v>159</v>
      </c>
      <c r="F17" s="40" t="s">
        <v>310</v>
      </c>
      <c r="G17" s="39" t="s">
        <v>319</v>
      </c>
      <c r="H17" s="43" t="s">
        <v>312</v>
      </c>
      <c r="I17" s="40">
        <v>15108211617</v>
      </c>
      <c r="J17" s="45" t="s">
        <v>313</v>
      </c>
      <c r="K17" s="49" t="s">
        <v>314</v>
      </c>
      <c r="L17" s="47"/>
      <c r="M17" s="39" t="s">
        <v>315</v>
      </c>
    </row>
    <row r="18" spans="1:13">
      <c r="A18" s="36" t="s">
        <v>18</v>
      </c>
      <c r="B18" s="36" t="s">
        <v>116</v>
      </c>
      <c r="C18" s="37"/>
      <c r="D18" s="38" t="s">
        <v>309</v>
      </c>
      <c r="E18" s="39" t="s">
        <v>69</v>
      </c>
      <c r="F18" s="40" t="s">
        <v>310</v>
      </c>
      <c r="G18" s="39" t="s">
        <v>320</v>
      </c>
      <c r="H18" s="43" t="s">
        <v>321</v>
      </c>
      <c r="I18" s="40">
        <v>18381904567</v>
      </c>
      <c r="J18" s="45" t="s">
        <v>313</v>
      </c>
      <c r="K18" s="49" t="s">
        <v>314</v>
      </c>
      <c r="L18" s="47"/>
      <c r="M18" s="39" t="s">
        <v>315</v>
      </c>
    </row>
    <row r="19" spans="1:13">
      <c r="A19" s="36" t="s">
        <v>65</v>
      </c>
      <c r="B19" s="36" t="s">
        <v>116</v>
      </c>
      <c r="C19" s="37"/>
      <c r="D19" s="38" t="s">
        <v>309</v>
      </c>
      <c r="E19" s="39" t="s">
        <v>179</v>
      </c>
      <c r="F19" s="40" t="s">
        <v>310</v>
      </c>
      <c r="G19" s="39" t="s">
        <v>322</v>
      </c>
      <c r="H19" s="43" t="s">
        <v>321</v>
      </c>
      <c r="I19" s="40">
        <v>18381904567</v>
      </c>
      <c r="J19" s="45" t="s">
        <v>313</v>
      </c>
      <c r="K19" s="49" t="s">
        <v>314</v>
      </c>
      <c r="L19" s="47"/>
      <c r="M19" s="39" t="s">
        <v>315</v>
      </c>
    </row>
    <row r="20" ht="12.95" customHeight="1" spans="1:13">
      <c r="A20" s="36" t="s">
        <v>52</v>
      </c>
      <c r="B20" s="36" t="s">
        <v>116</v>
      </c>
      <c r="C20" s="37"/>
      <c r="D20" s="38" t="s">
        <v>309</v>
      </c>
      <c r="E20" s="39" t="s">
        <v>56</v>
      </c>
      <c r="F20" s="40" t="s">
        <v>310</v>
      </c>
      <c r="G20" s="39" t="s">
        <v>323</v>
      </c>
      <c r="H20" s="43" t="s">
        <v>321</v>
      </c>
      <c r="I20" s="40">
        <v>18381904567</v>
      </c>
      <c r="J20" s="45" t="s">
        <v>313</v>
      </c>
      <c r="K20" s="49" t="s">
        <v>314</v>
      </c>
      <c r="L20" s="47"/>
      <c r="M20" s="39" t="s">
        <v>315</v>
      </c>
    </row>
    <row r="21" ht="12.95" customHeight="1" spans="1:13">
      <c r="A21" s="36"/>
      <c r="B21" s="36"/>
      <c r="C21" s="37"/>
      <c r="D21" s="38" t="s">
        <v>309</v>
      </c>
      <c r="E21" s="39" t="s">
        <v>180</v>
      </c>
      <c r="F21" s="40" t="s">
        <v>310</v>
      </c>
      <c r="G21" s="39" t="s">
        <v>324</v>
      </c>
      <c r="H21" s="43" t="s">
        <v>321</v>
      </c>
      <c r="I21" s="40">
        <v>18381904567</v>
      </c>
      <c r="J21" s="45" t="s">
        <v>313</v>
      </c>
      <c r="K21" s="49" t="s">
        <v>314</v>
      </c>
      <c r="L21" s="47"/>
      <c r="M21" s="39" t="s">
        <v>315</v>
      </c>
    </row>
    <row r="22" ht="12.95" customHeight="1" spans="1:13">
      <c r="A22" s="36" t="s">
        <v>111</v>
      </c>
      <c r="B22" s="36" t="s">
        <v>116</v>
      </c>
      <c r="C22" s="37"/>
      <c r="D22" s="38" t="s">
        <v>309</v>
      </c>
      <c r="E22" s="39" t="s">
        <v>163</v>
      </c>
      <c r="F22" s="40" t="s">
        <v>310</v>
      </c>
      <c r="G22" s="39" t="s">
        <v>325</v>
      </c>
      <c r="H22" s="43" t="s">
        <v>321</v>
      </c>
      <c r="I22" s="40">
        <v>18381904567</v>
      </c>
      <c r="J22" s="45" t="s">
        <v>313</v>
      </c>
      <c r="K22" s="49" t="s">
        <v>314</v>
      </c>
      <c r="L22" s="47"/>
      <c r="M22" s="39" t="s">
        <v>315</v>
      </c>
    </row>
    <row r="23" ht="12.95" customHeight="1" spans="1:13">
      <c r="A23" s="36" t="s">
        <v>76</v>
      </c>
      <c r="B23" s="36" t="s">
        <v>116</v>
      </c>
      <c r="C23" s="37"/>
      <c r="D23" s="38" t="s">
        <v>309</v>
      </c>
      <c r="E23" s="39" t="s">
        <v>112</v>
      </c>
      <c r="F23" s="40" t="s">
        <v>310</v>
      </c>
      <c r="G23" s="39" t="s">
        <v>326</v>
      </c>
      <c r="H23" s="43" t="s">
        <v>321</v>
      </c>
      <c r="I23" s="40">
        <v>18381904567</v>
      </c>
      <c r="J23" s="45" t="s">
        <v>313</v>
      </c>
      <c r="K23" s="49" t="s">
        <v>314</v>
      </c>
      <c r="L23" s="47"/>
      <c r="M23" s="39" t="s">
        <v>315</v>
      </c>
    </row>
    <row r="24" spans="1:13">
      <c r="A24" s="36" t="s">
        <v>90</v>
      </c>
      <c r="B24" s="36" t="s">
        <v>116</v>
      </c>
      <c r="C24" s="37"/>
      <c r="D24" s="38" t="s">
        <v>309</v>
      </c>
      <c r="E24" s="39" t="s">
        <v>147</v>
      </c>
      <c r="F24" s="40" t="s">
        <v>310</v>
      </c>
      <c r="G24" s="39" t="s">
        <v>327</v>
      </c>
      <c r="H24" s="43" t="s">
        <v>321</v>
      </c>
      <c r="I24" s="40">
        <v>18381904567</v>
      </c>
      <c r="J24" s="45" t="s">
        <v>313</v>
      </c>
      <c r="K24" s="49" t="s">
        <v>314</v>
      </c>
      <c r="L24" s="47"/>
      <c r="M24" s="39" t="s">
        <v>315</v>
      </c>
    </row>
    <row r="25" spans="1:13">
      <c r="A25" s="36" t="s">
        <v>130</v>
      </c>
      <c r="B25" s="36" t="s">
        <v>116</v>
      </c>
      <c r="C25" s="37"/>
      <c r="D25" s="38" t="s">
        <v>328</v>
      </c>
      <c r="E25" s="39" t="s">
        <v>328</v>
      </c>
      <c r="F25" s="40" t="s">
        <v>329</v>
      </c>
      <c r="G25" s="39" t="s">
        <v>330</v>
      </c>
      <c r="H25" s="40" t="s">
        <v>331</v>
      </c>
      <c r="I25" s="40">
        <v>15283947738</v>
      </c>
      <c r="J25" s="45" t="s">
        <v>332</v>
      </c>
      <c r="K25" s="49" t="s">
        <v>333</v>
      </c>
      <c r="L25" s="47"/>
      <c r="M25" s="39" t="s">
        <v>334</v>
      </c>
    </row>
    <row r="26" spans="1:13">
      <c r="A26" s="36" t="s">
        <v>138</v>
      </c>
      <c r="B26" s="36" t="s">
        <v>116</v>
      </c>
      <c r="C26" s="37"/>
      <c r="D26" s="38" t="s">
        <v>335</v>
      </c>
      <c r="E26" s="39" t="s">
        <v>31</v>
      </c>
      <c r="F26" s="40" t="s">
        <v>310</v>
      </c>
      <c r="G26" s="39" t="s">
        <v>336</v>
      </c>
      <c r="H26" s="40" t="s">
        <v>337</v>
      </c>
      <c r="I26" s="40">
        <v>15692885305</v>
      </c>
      <c r="J26" s="45" t="s">
        <v>38</v>
      </c>
      <c r="K26" s="49" t="s">
        <v>338</v>
      </c>
      <c r="L26" s="47"/>
      <c r="M26" s="39" t="s">
        <v>339</v>
      </c>
    </row>
    <row r="27" spans="1:13">
      <c r="A27" s="36" t="s">
        <v>133</v>
      </c>
      <c r="B27" s="36" t="s">
        <v>116</v>
      </c>
      <c r="C27" s="37"/>
      <c r="D27" s="44" t="s">
        <v>340</v>
      </c>
      <c r="E27" s="39" t="s">
        <v>106</v>
      </c>
      <c r="F27" s="40" t="s">
        <v>341</v>
      </c>
      <c r="G27" s="39" t="s">
        <v>122</v>
      </c>
      <c r="H27" s="40" t="s">
        <v>123</v>
      </c>
      <c r="I27" s="40">
        <v>15228205853</v>
      </c>
      <c r="J27" s="45" t="s">
        <v>124</v>
      </c>
      <c r="K27" s="50" t="s">
        <v>121</v>
      </c>
      <c r="L27" s="47"/>
      <c r="M27" s="39" t="s">
        <v>342</v>
      </c>
    </row>
    <row r="28" spans="1:13">
      <c r="A28" s="36" t="s">
        <v>91</v>
      </c>
      <c r="B28" s="36" t="s">
        <v>116</v>
      </c>
      <c r="C28" s="37"/>
      <c r="D28" s="44" t="s">
        <v>340</v>
      </c>
      <c r="E28" s="39" t="s">
        <v>107</v>
      </c>
      <c r="F28" s="40" t="s">
        <v>341</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342</v>
      </c>
    </row>
    <row r="29" spans="1:13">
      <c r="A29" s="36" t="s">
        <v>77</v>
      </c>
      <c r="B29" s="36" t="s">
        <v>116</v>
      </c>
      <c r="C29" s="37"/>
      <c r="D29" s="44" t="s">
        <v>340</v>
      </c>
      <c r="E29" s="39" t="s">
        <v>155</v>
      </c>
      <c r="F29" s="40" t="s">
        <v>341</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342</v>
      </c>
    </row>
    <row r="30" spans="1:13">
      <c r="A30" s="36" t="s">
        <v>86</v>
      </c>
      <c r="B30" s="36" t="s">
        <v>116</v>
      </c>
      <c r="C30" s="37"/>
      <c r="D30" s="44" t="s">
        <v>340</v>
      </c>
      <c r="E30" s="39" t="s">
        <v>171</v>
      </c>
      <c r="F30" s="40" t="s">
        <v>341</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342</v>
      </c>
    </row>
    <row r="31" spans="1:13">
      <c r="A31" s="40"/>
      <c r="B31" s="40"/>
      <c r="C31" s="37"/>
      <c r="D31" s="38" t="s">
        <v>343</v>
      </c>
      <c r="E31" s="45" t="s">
        <v>17</v>
      </c>
      <c r="F31" s="40" t="s">
        <v>344</v>
      </c>
      <c r="G31" s="39" t="s">
        <v>345</v>
      </c>
      <c r="H31" s="40" t="s">
        <v>346</v>
      </c>
      <c r="I31" s="40">
        <v>13658059919</v>
      </c>
      <c r="J31" s="45" t="s">
        <v>347</v>
      </c>
      <c r="K31" s="50" t="s">
        <v>348</v>
      </c>
      <c r="L31" s="50" t="s">
        <v>349</v>
      </c>
      <c r="M31" s="39" t="s">
        <v>350</v>
      </c>
    </row>
    <row r="32" spans="1:13">
      <c r="A32" s="36" t="s">
        <v>66</v>
      </c>
      <c r="B32" s="36" t="s">
        <v>116</v>
      </c>
      <c r="C32" s="37"/>
      <c r="D32" s="38" t="s">
        <v>343</v>
      </c>
      <c r="E32" s="45" t="s">
        <v>39</v>
      </c>
      <c r="F32" s="40" t="s">
        <v>344</v>
      </c>
      <c r="G32" s="39" t="s">
        <v>351</v>
      </c>
      <c r="H32" s="40" t="s">
        <v>346</v>
      </c>
      <c r="I32" s="40">
        <v>13658059919</v>
      </c>
      <c r="J32" s="45" t="s">
        <v>347</v>
      </c>
      <c r="K32" s="49" t="s">
        <v>348</v>
      </c>
      <c r="L32" s="50" t="s">
        <v>349</v>
      </c>
      <c r="M32" s="39" t="s">
        <v>350</v>
      </c>
    </row>
    <row r="33" spans="1:13">
      <c r="A33" s="36" t="s">
        <v>82</v>
      </c>
      <c r="B33" s="36" t="s">
        <v>116</v>
      </c>
      <c r="C33" s="37"/>
      <c r="D33" s="38" t="s">
        <v>343</v>
      </c>
      <c r="E33" s="45" t="s">
        <v>43</v>
      </c>
      <c r="F33" s="40" t="s">
        <v>344</v>
      </c>
      <c r="G33" s="39" t="s">
        <v>352</v>
      </c>
      <c r="H33" s="40" t="s">
        <v>353</v>
      </c>
      <c r="I33" s="40">
        <v>15982487227</v>
      </c>
      <c r="J33" s="45" t="s">
        <v>347</v>
      </c>
      <c r="K33" s="49" t="s">
        <v>348</v>
      </c>
      <c r="L33" s="50" t="s">
        <v>349</v>
      </c>
      <c r="M33" s="39" t="s">
        <v>350</v>
      </c>
    </row>
    <row r="34" spans="1:13">
      <c r="A34" s="36" t="s">
        <v>45</v>
      </c>
      <c r="B34" s="36" t="s">
        <v>116</v>
      </c>
      <c r="C34" s="37"/>
      <c r="D34" s="38" t="s">
        <v>343</v>
      </c>
      <c r="E34" s="45" t="s">
        <v>104</v>
      </c>
      <c r="F34" s="40" t="s">
        <v>344</v>
      </c>
      <c r="G34" s="39" t="s">
        <v>354</v>
      </c>
      <c r="H34" s="40" t="s">
        <v>353</v>
      </c>
      <c r="I34" s="40">
        <v>15982487227</v>
      </c>
      <c r="J34" s="45" t="s">
        <v>347</v>
      </c>
      <c r="K34" s="49" t="s">
        <v>348</v>
      </c>
      <c r="L34" s="50" t="s">
        <v>349</v>
      </c>
      <c r="M34" s="39" t="s">
        <v>350</v>
      </c>
    </row>
    <row r="35" spans="1:13">
      <c r="A35" s="36" t="s">
        <v>21</v>
      </c>
      <c r="B35" s="36" t="s">
        <v>116</v>
      </c>
      <c r="C35" s="37"/>
      <c r="D35" s="44" t="s">
        <v>150</v>
      </c>
      <c r="E35" s="39" t="s">
        <v>150</v>
      </c>
      <c r="F35" s="40" t="s">
        <v>355</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356</v>
      </c>
      <c r="I35" s="43">
        <v>19130850820</v>
      </c>
      <c r="J35" s="45" t="s">
        <v>357</v>
      </c>
      <c r="K35" s="50" t="s">
        <v>358</v>
      </c>
      <c r="L35" s="47"/>
      <c r="M35" s="39" t="s">
        <v>359</v>
      </c>
    </row>
    <row r="36" spans="1:13">
      <c r="A36" s="36" t="s">
        <v>58</v>
      </c>
      <c r="B36" s="36" t="s">
        <v>116</v>
      </c>
      <c r="C36" s="37"/>
      <c r="D36" s="44" t="s">
        <v>150</v>
      </c>
      <c r="E36" s="39" t="s">
        <v>150</v>
      </c>
      <c r="F36" s="40" t="s">
        <v>355</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360</v>
      </c>
      <c r="I36" s="43">
        <v>18208257412</v>
      </c>
      <c r="J36" s="45" t="s">
        <v>357</v>
      </c>
      <c r="K36" s="50" t="s">
        <v>358</v>
      </c>
      <c r="L36" s="47"/>
      <c r="M36" s="39" t="s">
        <v>359</v>
      </c>
    </row>
    <row r="37" s="25" customFormat="1" spans="1:13">
      <c r="A37" s="36" t="s">
        <v>46</v>
      </c>
      <c r="B37" s="36" t="s">
        <v>116</v>
      </c>
      <c r="C37" s="37"/>
      <c r="D37" s="46" t="s">
        <v>128</v>
      </c>
      <c r="E37" s="39" t="s">
        <v>132</v>
      </c>
      <c r="F37" s="40" t="s">
        <v>361</v>
      </c>
      <c r="G37" s="39" t="str">
        <f t="shared" ref="G37:G47" si="0">"("&amp;E37&amp;")"&amp;"宜宾市翠屏区宜宾汽车零部件配套产业基地(纬五路南)"</f>
        <v>(宜宾兴港三江新区长江工业园建设项目-9#厂房)宜宾市翠屏区宜宾汽车零部件配套产业基地(纬五路南)</v>
      </c>
      <c r="H37" s="40" t="s">
        <v>362</v>
      </c>
      <c r="I37" s="40">
        <v>15924731822</v>
      </c>
      <c r="J37" s="51" t="s">
        <v>357</v>
      </c>
      <c r="K37" s="52" t="s">
        <v>363</v>
      </c>
      <c r="L37" s="53"/>
      <c r="M37" s="39" t="s">
        <v>364</v>
      </c>
    </row>
    <row r="38" s="25" customFormat="1" spans="1:13">
      <c r="A38" s="36" t="s">
        <v>22</v>
      </c>
      <c r="B38" s="36" t="s">
        <v>116</v>
      </c>
      <c r="C38" s="37"/>
      <c r="D38" s="44" t="s">
        <v>128</v>
      </c>
      <c r="E38" s="39" t="s">
        <v>135</v>
      </c>
      <c r="F38" s="40" t="s">
        <v>361</v>
      </c>
      <c r="G38" s="39" t="str">
        <f t="shared" si="0"/>
        <v>(宜宾兴港三江新区长江工业园建设项目-M2-2#厂房)宜宾市翠屏区宜宾汽车零部件配套产业基地(纬五路南)</v>
      </c>
      <c r="H38" s="40" t="s">
        <v>365</v>
      </c>
      <c r="I38" s="40">
        <v>17713876279</v>
      </c>
      <c r="J38" s="51" t="s">
        <v>357</v>
      </c>
      <c r="K38" s="52" t="s">
        <v>363</v>
      </c>
      <c r="L38" s="53"/>
      <c r="M38" s="39" t="s">
        <v>364</v>
      </c>
    </row>
    <row r="39" s="25" customFormat="1" spans="1:13">
      <c r="A39" s="36" t="s">
        <v>181</v>
      </c>
      <c r="B39" s="36" t="s">
        <v>116</v>
      </c>
      <c r="C39" s="37"/>
      <c r="D39" s="44" t="s">
        <v>128</v>
      </c>
      <c r="E39" s="39" t="s">
        <v>136</v>
      </c>
      <c r="F39" s="40" t="s">
        <v>361</v>
      </c>
      <c r="G39" s="39" t="str">
        <f t="shared" si="0"/>
        <v>(宜宾兴港三江新区长江工业园建设项目-M2-00-04桩)宜宾市翠屏区宜宾汽车零部件配套产业基地(纬五路南)</v>
      </c>
      <c r="H39" s="40" t="s">
        <v>365</v>
      </c>
      <c r="I39" s="40">
        <v>17713876279</v>
      </c>
      <c r="J39" s="51" t="s">
        <v>357</v>
      </c>
      <c r="K39" s="52" t="s">
        <v>363</v>
      </c>
      <c r="L39" s="53"/>
      <c r="M39" s="39" t="s">
        <v>364</v>
      </c>
    </row>
    <row r="40" s="25" customFormat="1" spans="1:13">
      <c r="A40" s="36" t="s">
        <v>182</v>
      </c>
      <c r="B40" s="36" t="s">
        <v>116</v>
      </c>
      <c r="C40" s="37"/>
      <c r="D40" s="44" t="s">
        <v>128</v>
      </c>
      <c r="E40" s="39" t="s">
        <v>366</v>
      </c>
      <c r="F40" s="40" t="s">
        <v>361</v>
      </c>
      <c r="G40" s="39" t="str">
        <f t="shared" si="0"/>
        <v>(宜宾兴港三江新区长江工业园建设项目-M2-3#厂房)宜宾市翠屏区宜宾汽车零部件配套产业基地(纬五路南)</v>
      </c>
      <c r="H40" s="40" t="s">
        <v>365</v>
      </c>
      <c r="I40" s="40">
        <v>17713876279</v>
      </c>
      <c r="J40" s="51" t="s">
        <v>357</v>
      </c>
      <c r="K40" s="52" t="s">
        <v>363</v>
      </c>
      <c r="L40" s="53"/>
      <c r="M40" s="39" t="s">
        <v>364</v>
      </c>
    </row>
    <row r="41" s="25" customFormat="1" spans="1:13">
      <c r="A41" s="40"/>
      <c r="B41" s="40"/>
      <c r="C41" s="37"/>
      <c r="D41" s="44" t="s">
        <v>128</v>
      </c>
      <c r="E41" s="39" t="s">
        <v>153</v>
      </c>
      <c r="F41" s="40" t="s">
        <v>361</v>
      </c>
      <c r="G41" s="39" t="str">
        <f t="shared" si="0"/>
        <v>(宜宾兴港三江新区长江工业园建设项目-M2-4#厂房)宜宾市翠屏区宜宾汽车零部件配套产业基地(纬五路南)</v>
      </c>
      <c r="H41" s="40" t="s">
        <v>365</v>
      </c>
      <c r="I41" s="40">
        <v>17713876279</v>
      </c>
      <c r="J41" s="51" t="s">
        <v>357</v>
      </c>
      <c r="K41" s="52" t="s">
        <v>363</v>
      </c>
      <c r="L41" s="53"/>
      <c r="M41" s="39" t="s">
        <v>364</v>
      </c>
    </row>
    <row r="42" s="25" customFormat="1" spans="1:13">
      <c r="A42" s="36" t="s">
        <v>205</v>
      </c>
      <c r="B42" s="36" t="s">
        <v>116</v>
      </c>
      <c r="C42" s="37"/>
      <c r="D42" s="44" t="s">
        <v>128</v>
      </c>
      <c r="E42" s="39" t="s">
        <v>154</v>
      </c>
      <c r="F42" s="40" t="s">
        <v>361</v>
      </c>
      <c r="G42" s="39" t="str">
        <f t="shared" si="0"/>
        <v>(宜宾兴港三江新区长江工业园建设项目-M2-5#厂房)宜宾市翠屏区宜宾汽车零部件配套产业基地(纬五路南)</v>
      </c>
      <c r="H42" s="40" t="s">
        <v>365</v>
      </c>
      <c r="I42" s="40">
        <v>17713876279</v>
      </c>
      <c r="J42" s="51" t="s">
        <v>357</v>
      </c>
      <c r="K42" s="52" t="s">
        <v>363</v>
      </c>
      <c r="L42" s="53"/>
      <c r="M42" s="39" t="s">
        <v>364</v>
      </c>
    </row>
    <row r="43" s="25" customFormat="1" spans="1:13">
      <c r="A43" s="36" t="s">
        <v>140</v>
      </c>
      <c r="B43" s="36" t="s">
        <v>116</v>
      </c>
      <c r="C43" s="37"/>
      <c r="D43" s="44" t="s">
        <v>128</v>
      </c>
      <c r="E43" s="39" t="s">
        <v>137</v>
      </c>
      <c r="F43" s="40" t="s">
        <v>361</v>
      </c>
      <c r="G43" s="39" t="str">
        <f t="shared" si="0"/>
        <v>(宜宾兴港三江新区长江工业园建设项目-M2-6#厂房)宜宾市翠屏区宜宾汽车零部件配套产业基地(纬五路南)</v>
      </c>
      <c r="H43" s="40" t="s">
        <v>365</v>
      </c>
      <c r="I43" s="40">
        <v>17713876279</v>
      </c>
      <c r="J43" s="51" t="s">
        <v>357</v>
      </c>
      <c r="K43" s="52" t="s">
        <v>363</v>
      </c>
      <c r="L43" s="53"/>
      <c r="M43" s="39" t="s">
        <v>364</v>
      </c>
    </row>
    <row r="44" s="25" customFormat="1" spans="1:13">
      <c r="A44" s="36" t="s">
        <v>197</v>
      </c>
      <c r="B44" s="36" t="s">
        <v>116</v>
      </c>
      <c r="C44" s="37"/>
      <c r="D44" s="44" t="s">
        <v>128</v>
      </c>
      <c r="E44" s="39" t="s">
        <v>139</v>
      </c>
      <c r="F44" s="40" t="s">
        <v>361</v>
      </c>
      <c r="G44" s="39" t="str">
        <f t="shared" si="0"/>
        <v>(宜宾兴港三江新区长江工业园建设项目-M2-7#厂房)宜宾市翠屏区宜宾汽车零部件配套产业基地(纬五路南)</v>
      </c>
      <c r="H44" s="40" t="s">
        <v>365</v>
      </c>
      <c r="I44" s="40">
        <v>17713876279</v>
      </c>
      <c r="J44" s="51" t="s">
        <v>357</v>
      </c>
      <c r="K44" s="52" t="s">
        <v>363</v>
      </c>
      <c r="L44" s="53"/>
      <c r="M44" s="39" t="s">
        <v>364</v>
      </c>
    </row>
    <row r="45" s="25" customFormat="1" spans="1:13">
      <c r="A45" s="36" t="s">
        <v>198</v>
      </c>
      <c r="B45" s="36" t="s">
        <v>116</v>
      </c>
      <c r="C45" s="27"/>
      <c r="D45" s="44" t="s">
        <v>128</v>
      </c>
      <c r="E45" s="39" t="s">
        <v>131</v>
      </c>
      <c r="F45" s="40" t="s">
        <v>361</v>
      </c>
      <c r="G45" s="39" t="str">
        <f t="shared" si="0"/>
        <v>(宜宾兴港三江新区长江工业园建设项目-11#厂房)宜宾市翠屏区宜宾汽车零部件配套产业基地(纬五路南)</v>
      </c>
      <c r="H45" s="40" t="s">
        <v>362</v>
      </c>
      <c r="I45" s="40">
        <v>15924731822</v>
      </c>
      <c r="J45" s="51" t="s">
        <v>357</v>
      </c>
      <c r="K45" s="52" t="s">
        <v>363</v>
      </c>
      <c r="L45" s="53"/>
      <c r="M45" s="39" t="s">
        <v>364</v>
      </c>
    </row>
    <row r="46" s="25" customFormat="1" spans="1:13">
      <c r="A46" s="36" t="s">
        <v>199</v>
      </c>
      <c r="B46" s="36" t="s">
        <v>116</v>
      </c>
      <c r="C46" s="27"/>
      <c r="D46" s="44" t="s">
        <v>128</v>
      </c>
      <c r="E46" s="39" t="s">
        <v>367</v>
      </c>
      <c r="F46" s="40" t="s">
        <v>361</v>
      </c>
      <c r="G46" s="39" t="str">
        <f t="shared" si="0"/>
        <v>(宜宾兴港三江新区长江工业园建设项目-3#8#9#承台)宜宾市翠屏区宜宾汽车零部件配套产业基地(纬五路南)</v>
      </c>
      <c r="H46" s="40" t="s">
        <v>362</v>
      </c>
      <c r="I46" s="40">
        <v>15924731822</v>
      </c>
      <c r="J46" s="51" t="s">
        <v>357</v>
      </c>
      <c r="K46" s="52" t="s">
        <v>363</v>
      </c>
      <c r="L46" s="54"/>
      <c r="M46" s="39" t="s">
        <v>364</v>
      </c>
    </row>
    <row r="47" s="25" customFormat="1" spans="1:13">
      <c r="A47" s="36" t="s">
        <v>141</v>
      </c>
      <c r="B47" s="36" t="s">
        <v>116</v>
      </c>
      <c r="C47" s="27"/>
      <c r="D47" s="44" t="s">
        <v>128</v>
      </c>
      <c r="E47" s="39" t="s">
        <v>148</v>
      </c>
      <c r="F47" s="40" t="s">
        <v>361</v>
      </c>
      <c r="G47" s="39" t="str">
        <f t="shared" si="0"/>
        <v>(宜宾兴港三江新区长江工业园建设项目-3#8#土建)宜宾市翠屏区宜宾汽车零部件配套产业基地(纬五路南)</v>
      </c>
      <c r="H47" s="40" t="s">
        <v>362</v>
      </c>
      <c r="I47" s="40">
        <v>15924731822</v>
      </c>
      <c r="J47" s="51" t="s">
        <v>357</v>
      </c>
      <c r="K47" s="52" t="s">
        <v>363</v>
      </c>
      <c r="L47" s="54"/>
      <c r="M47" s="39" t="s">
        <v>364</v>
      </c>
    </row>
    <row r="48" s="25" customFormat="1" spans="1:13">
      <c r="A48" s="36" t="s">
        <v>142</v>
      </c>
      <c r="B48" s="36" t="s">
        <v>116</v>
      </c>
      <c r="C48" s="27"/>
      <c r="D48" s="44" t="s">
        <v>128</v>
      </c>
      <c r="E48" s="39" t="s">
        <v>161</v>
      </c>
      <c r="F48" s="40" t="s">
        <v>368</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369</v>
      </c>
      <c r="I48" s="40">
        <v>13684167136</v>
      </c>
      <c r="J48" s="51" t="s">
        <v>370</v>
      </c>
      <c r="K48" s="52" t="s">
        <v>371</v>
      </c>
      <c r="L48" s="54"/>
      <c r="M48" s="39" t="s">
        <v>372</v>
      </c>
    </row>
    <row r="49" s="25" customFormat="1" spans="1:13">
      <c r="A49" s="36" t="s">
        <v>200</v>
      </c>
      <c r="B49" s="36" t="s">
        <v>116</v>
      </c>
      <c r="C49" s="27"/>
      <c r="D49" s="44" t="s">
        <v>128</v>
      </c>
      <c r="E49" s="39" t="s">
        <v>162</v>
      </c>
      <c r="F49" s="40" t="s">
        <v>368</v>
      </c>
      <c r="G49" s="39" t="str">
        <f t="shared" si="1"/>
        <v>(宜宾兴港三江新区长江工业园保障性租赁住房建设项目-2标)四川省宜宾市翠屏区永善路南段宜宾市三江新区长江工业园区</v>
      </c>
      <c r="H49" s="40" t="s">
        <v>369</v>
      </c>
      <c r="I49" s="40">
        <v>13684167136</v>
      </c>
      <c r="J49" s="51" t="s">
        <v>370</v>
      </c>
      <c r="K49" s="52" t="s">
        <v>371</v>
      </c>
      <c r="L49" s="54"/>
      <c r="M49" s="39" t="s">
        <v>372</v>
      </c>
    </row>
    <row r="50" s="25" customFormat="1" spans="1:13">
      <c r="A50" s="36" t="s">
        <v>201</v>
      </c>
      <c r="B50" s="36" t="s">
        <v>116</v>
      </c>
      <c r="C50" s="27"/>
      <c r="D50" s="44" t="s">
        <v>128</v>
      </c>
      <c r="E50" s="39" t="s">
        <v>194</v>
      </c>
      <c r="F50" s="40" t="s">
        <v>368</v>
      </c>
      <c r="G50" s="39" t="str">
        <f t="shared" si="1"/>
        <v>(宜宾兴港三江新区长江工业园保障性租赁住房建设项目-土建)四川省宜宾市翠屏区永善路南段宜宾市三江新区长江工业园区</v>
      </c>
      <c r="H50" s="40" t="s">
        <v>369</v>
      </c>
      <c r="I50" s="40">
        <v>13684167136</v>
      </c>
      <c r="J50" s="51" t="s">
        <v>370</v>
      </c>
      <c r="K50" s="52" t="s">
        <v>371</v>
      </c>
      <c r="L50" s="54"/>
      <c r="M50" s="39" t="s">
        <v>372</v>
      </c>
    </row>
    <row r="51" s="25" customFormat="1" spans="3:13">
      <c r="C51" s="27"/>
      <c r="D51" s="44" t="s">
        <v>128</v>
      </c>
      <c r="E51" s="39" t="s">
        <v>184</v>
      </c>
      <c r="F51" s="40" t="s">
        <v>368</v>
      </c>
      <c r="G51" s="39" t="str">
        <f t="shared" si="1"/>
        <v>(宜宾兴港三江新区长江工业园保障性租赁住房建设项目-边坡支护)四川省宜宾市翠屏区永善路南段宜宾市三江新区长江工业园区</v>
      </c>
      <c r="H51" s="40" t="s">
        <v>369</v>
      </c>
      <c r="I51" s="40">
        <v>13684167136</v>
      </c>
      <c r="J51" s="51" t="s">
        <v>370</v>
      </c>
      <c r="K51" s="52" t="s">
        <v>371</v>
      </c>
      <c r="L51" s="54"/>
      <c r="M51" s="39" t="s">
        <v>372</v>
      </c>
    </row>
    <row r="52" s="25" customFormat="1" spans="3:13">
      <c r="C52" s="27"/>
      <c r="D52" s="39" t="s">
        <v>373</v>
      </c>
      <c r="E52" s="39" t="s">
        <v>169</v>
      </c>
      <c r="F52" s="40" t="s">
        <v>374</v>
      </c>
      <c r="G52" s="39" t="str">
        <f>"("&amp;E52&amp;")"&amp;"龙泉驿区北川路双堰塘钓鱼东100米(北川路)"</f>
        <v>(五冶建设龙泉芙蓉花语项目-1,3地块)龙泉驿区北川路双堰塘钓鱼东100米(北川路)</v>
      </c>
      <c r="H52" s="40" t="s">
        <v>375</v>
      </c>
      <c r="I52" s="40">
        <v>15583590797</v>
      </c>
      <c r="J52" s="55" t="s">
        <v>376</v>
      </c>
      <c r="K52" s="52" t="s">
        <v>377</v>
      </c>
      <c r="L52" s="54"/>
      <c r="M52" s="39" t="s">
        <v>378</v>
      </c>
    </row>
    <row r="53" s="25" customFormat="1" spans="1:13">
      <c r="A53" s="26"/>
      <c r="B53" s="26"/>
      <c r="C53" s="27"/>
      <c r="D53" s="39" t="s">
        <v>373</v>
      </c>
      <c r="E53" s="39" t="s">
        <v>158</v>
      </c>
      <c r="F53" s="40" t="s">
        <v>374</v>
      </c>
      <c r="G53" s="39" t="str">
        <f>"("&amp;E53&amp;")"&amp;"龙泉驿区北川路双堰塘钓鱼东100米(北川路)"</f>
        <v>(五冶建设龙泉芙蓉花语项目-2地块)龙泉驿区北川路双堰塘钓鱼东100米(北川路)</v>
      </c>
      <c r="H53" s="40" t="s">
        <v>379</v>
      </c>
      <c r="I53" s="40">
        <v>15982002377</v>
      </c>
      <c r="J53" s="55" t="s">
        <v>380</v>
      </c>
      <c r="K53" s="52" t="s">
        <v>377</v>
      </c>
      <c r="L53" s="54"/>
      <c r="M53" s="39" t="s">
        <v>378</v>
      </c>
    </row>
    <row r="54" s="25" customFormat="1" spans="1:13">
      <c r="A54" s="26"/>
      <c r="B54" s="26"/>
      <c r="C54" s="27"/>
      <c r="D54" s="39" t="s">
        <v>167</v>
      </c>
      <c r="E54" s="39" t="s">
        <v>167</v>
      </c>
      <c r="F54" s="40" t="s">
        <v>381</v>
      </c>
      <c r="G54" s="39" t="str">
        <f>"("&amp;E54&amp;")"&amp;"四川省成都市双流区光荣路成都艺体中学南200米"</f>
        <v>(五冶建设扩建艺体中学二期工程)四川省成都市双流区光荣路成都艺体中学南200米</v>
      </c>
      <c r="H54" s="40" t="s">
        <v>382</v>
      </c>
      <c r="I54" s="40">
        <v>13458588232</v>
      </c>
      <c r="J54" s="55" t="s">
        <v>383</v>
      </c>
      <c r="K54" s="52" t="s">
        <v>384</v>
      </c>
      <c r="L54" s="54"/>
      <c r="M54" s="39" t="s">
        <v>378</v>
      </c>
    </row>
    <row r="55" s="25" customFormat="1" spans="1:13">
      <c r="A55" s="26"/>
      <c r="B55" s="26"/>
      <c r="C55" s="27"/>
      <c r="D55" s="39" t="s">
        <v>192</v>
      </c>
      <c r="E55" s="39" t="s">
        <v>192</v>
      </c>
      <c r="F55" s="40" t="s">
        <v>385</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386</v>
      </c>
      <c r="I55" s="40">
        <v>13880580196</v>
      </c>
      <c r="J55" s="55" t="s">
        <v>387</v>
      </c>
      <c r="K55" s="52" t="s">
        <v>388</v>
      </c>
      <c r="L55" s="54"/>
      <c r="M55" s="39" t="s">
        <v>378</v>
      </c>
    </row>
    <row r="56" s="25" customFormat="1" spans="1:13">
      <c r="A56" s="26"/>
      <c r="B56" s="26"/>
      <c r="C56" s="27"/>
      <c r="D56" s="39" t="s">
        <v>196</v>
      </c>
      <c r="E56" s="39" t="s">
        <v>196</v>
      </c>
      <c r="F56" s="40" t="s">
        <v>389</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390</v>
      </c>
      <c r="I56" s="40">
        <v>13980880820</v>
      </c>
      <c r="J56" s="55" t="s">
        <v>391</v>
      </c>
      <c r="K56" s="52" t="s">
        <v>392</v>
      </c>
      <c r="L56" s="54"/>
      <c r="M56" s="39" t="s">
        <v>378</v>
      </c>
    </row>
    <row r="57" s="25" customFormat="1" spans="1:13">
      <c r="A57" s="26"/>
      <c r="B57" s="26"/>
      <c r="C57" s="27"/>
      <c r="D57" s="39" t="s">
        <v>203</v>
      </c>
      <c r="E57" s="39" t="s">
        <v>203</v>
      </c>
      <c r="F57" s="40" t="s">
        <v>393</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394</v>
      </c>
      <c r="I57" s="40">
        <v>15881190525</v>
      </c>
      <c r="J57" s="55" t="s">
        <v>395</v>
      </c>
      <c r="K57" s="52" t="s">
        <v>396</v>
      </c>
      <c r="L57" s="54"/>
      <c r="M57" s="39" t="s">
        <v>378</v>
      </c>
    </row>
    <row r="58" s="25" customFormat="1" spans="1:13">
      <c r="A58" s="26"/>
      <c r="B58" s="26"/>
      <c r="C58" s="27"/>
      <c r="D58" s="39" t="s">
        <v>208</v>
      </c>
      <c r="E58" s="39" t="s">
        <v>208</v>
      </c>
      <c r="F58" s="40" t="s">
        <v>389</v>
      </c>
      <c r="G58" s="39" t="str">
        <f>"("&amp;E58&amp;")"&amp;"锦江区泰昌路锦江28亩项目部"</f>
        <v>(五冶建设锦江区林家坝片区20号地块商业项目)锦江区泰昌路锦江28亩项目部</v>
      </c>
      <c r="H58" s="40" t="s">
        <v>397</v>
      </c>
      <c r="I58" s="40">
        <v>13980247952</v>
      </c>
      <c r="J58" s="55" t="s">
        <v>398</v>
      </c>
      <c r="K58" s="52" t="s">
        <v>399</v>
      </c>
      <c r="L58" s="54"/>
      <c r="M58" s="39" t="s">
        <v>378</v>
      </c>
    </row>
    <row r="59" s="25" customFormat="1" spans="1:13">
      <c r="A59" s="26"/>
      <c r="B59" s="26"/>
      <c r="C59" s="27"/>
      <c r="D59" s="39" t="s">
        <v>211</v>
      </c>
      <c r="E59" s="39" t="s">
        <v>231</v>
      </c>
      <c r="F59" s="40" t="s">
        <v>389</v>
      </c>
      <c r="G59" s="39" t="str">
        <f>"("&amp;E59&amp;")"&amp;"四川省成都市锦江区春熙路街道盐道街4号（盐道街中学初中部）"</f>
        <v>(五冶建设成都盐道街中学初中部改扩建工程-一标)四川省成都市锦江区春熙路街道盐道街4号（盐道街中学初中部）</v>
      </c>
      <c r="H59" s="40" t="s">
        <v>400</v>
      </c>
      <c r="I59" s="40">
        <v>18228465067</v>
      </c>
      <c r="J59" s="55" t="s">
        <v>401</v>
      </c>
      <c r="K59" s="52" t="s">
        <v>402</v>
      </c>
      <c r="L59" s="54"/>
      <c r="M59" s="39" t="s">
        <v>378</v>
      </c>
    </row>
    <row r="60" s="25" customFormat="1" spans="1:13">
      <c r="A60" s="26"/>
      <c r="B60" s="26"/>
      <c r="C60" s="27"/>
      <c r="D60" s="39" t="s">
        <v>211</v>
      </c>
      <c r="E60" s="39" t="s">
        <v>230</v>
      </c>
      <c r="F60" s="40" t="s">
        <v>389</v>
      </c>
      <c r="G60" s="39" t="str">
        <f>"("&amp;E60&amp;")"&amp;"四川省成都市锦江区春熙路街道盐道街4号（盐道街中学初中部）"</f>
        <v>(五冶建设成都盐道街中学初中部改扩建工程-二标)四川省成都市锦江区春熙路街道盐道街4号（盐道街中学初中部）</v>
      </c>
      <c r="H60" s="40" t="s">
        <v>400</v>
      </c>
      <c r="I60" s="40">
        <v>18228465067</v>
      </c>
      <c r="J60" s="55" t="s">
        <v>401</v>
      </c>
      <c r="K60" s="52" t="s">
        <v>402</v>
      </c>
      <c r="L60" s="54"/>
      <c r="M60" s="39" t="s">
        <v>378</v>
      </c>
    </row>
    <row r="61" s="25" customFormat="1" spans="1:13">
      <c r="A61" s="26"/>
      <c r="B61" s="26"/>
      <c r="C61" s="27"/>
      <c r="D61" s="39" t="s">
        <v>215</v>
      </c>
      <c r="E61" s="39" t="s">
        <v>215</v>
      </c>
      <c r="F61" s="40" t="s">
        <v>403</v>
      </c>
      <c r="G61" s="39" t="str">
        <f>"("&amp;E61&amp;")"&amp;"成都市龙泉驿区董朗路69号龙泉驿一医院5号门"</f>
        <v>(五冶建设龙泉驿一医院配套建设工程)成都市龙泉驿区董朗路69号龙泉驿一医院5号门</v>
      </c>
      <c r="H61" s="40" t="s">
        <v>404</v>
      </c>
      <c r="I61" s="40">
        <v>13617695006</v>
      </c>
      <c r="J61" s="55" t="s">
        <v>405</v>
      </c>
      <c r="K61" s="52" t="s">
        <v>406</v>
      </c>
      <c r="L61" s="54"/>
      <c r="M61" s="39" t="s">
        <v>378</v>
      </c>
    </row>
    <row r="62" s="25" customFormat="1" spans="1:13">
      <c r="A62" s="26"/>
      <c r="B62" s="26"/>
      <c r="C62" s="27"/>
      <c r="D62" s="39" t="s">
        <v>407</v>
      </c>
      <c r="E62" s="39" t="s">
        <v>224</v>
      </c>
      <c r="F62" s="40" t="s">
        <v>408</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409</v>
      </c>
      <c r="I62" s="40">
        <v>13540231225</v>
      </c>
      <c r="J62" s="55"/>
      <c r="K62" s="52" t="s">
        <v>410</v>
      </c>
      <c r="L62" s="54"/>
      <c r="M62" s="39" t="s">
        <v>411</v>
      </c>
    </row>
    <row r="63" s="25" customFormat="1" spans="1:13">
      <c r="A63" s="26"/>
      <c r="B63" s="26"/>
      <c r="C63" s="27"/>
      <c r="D63" s="39" t="s">
        <v>407</v>
      </c>
      <c r="E63" s="39" t="s">
        <v>228</v>
      </c>
      <c r="F63" s="40" t="s">
        <v>408</v>
      </c>
      <c r="G63" s="39" t="str">
        <f t="shared" si="2"/>
        <v>(五冶钢构龙泉东洪片区70亩住宅、商业及配套工程项目二标段)成都市龙泉驿外东洪路地铁2号线惠王陵地铁C口</v>
      </c>
      <c r="H63" s="40" t="s">
        <v>412</v>
      </c>
      <c r="I63" s="40">
        <v>15014331252</v>
      </c>
      <c r="J63" s="55"/>
      <c r="K63" s="52" t="s">
        <v>413</v>
      </c>
      <c r="L63" s="54"/>
      <c r="M63" s="39" t="s">
        <v>411</v>
      </c>
    </row>
    <row r="64" s="25" customFormat="1" spans="1:13">
      <c r="A64" s="26"/>
      <c r="B64" s="26"/>
      <c r="C64" s="27"/>
      <c r="D64" s="39" t="s">
        <v>407</v>
      </c>
      <c r="E64" s="39" t="s">
        <v>240</v>
      </c>
      <c r="F64" s="40" t="s">
        <v>408</v>
      </c>
      <c r="G64" s="39" t="str">
        <f t="shared" si="2"/>
        <v>(五冶钢构龙泉东洪片区70亩住宅、商业及配套工程项目三标段)成都市龙泉驿外东洪路地铁2号线惠王陵地铁C口</v>
      </c>
      <c r="H64" s="40" t="s">
        <v>412</v>
      </c>
      <c r="I64" s="40">
        <v>15014331252</v>
      </c>
      <c r="J64" s="55"/>
      <c r="K64" s="52" t="s">
        <v>414</v>
      </c>
      <c r="L64" s="54"/>
      <c r="M64" s="39" t="s">
        <v>411</v>
      </c>
    </row>
    <row r="65" s="25" customFormat="1" spans="1:13">
      <c r="A65" s="26"/>
      <c r="B65" s="26"/>
      <c r="C65" s="27"/>
      <c r="D65" s="39" t="s">
        <v>407</v>
      </c>
      <c r="E65" s="39" t="s">
        <v>225</v>
      </c>
      <c r="F65" s="40" t="s">
        <v>408</v>
      </c>
      <c r="G65" s="39" t="str">
        <f t="shared" si="2"/>
        <v>(五冶钢构龙泉东洪片区85亩住宅、商业及配套工程项目一标段)成都市龙泉驿外东洪路地铁2号线惠王陵地铁C口</v>
      </c>
      <c r="H65" s="40" t="s">
        <v>415</v>
      </c>
      <c r="I65" s="40">
        <v>18599951655</v>
      </c>
      <c r="J65" s="55"/>
      <c r="K65" s="52" t="s">
        <v>416</v>
      </c>
      <c r="L65" s="54"/>
      <c r="M65" s="39" t="s">
        <v>411</v>
      </c>
    </row>
    <row r="66" s="25" customFormat="1" spans="1:13">
      <c r="A66" s="26"/>
      <c r="B66" s="26"/>
      <c r="C66" s="27"/>
      <c r="D66" s="39" t="s">
        <v>407</v>
      </c>
      <c r="E66" s="39" t="s">
        <v>226</v>
      </c>
      <c r="F66" s="40" t="s">
        <v>408</v>
      </c>
      <c r="G66" s="39" t="str">
        <f t="shared" si="2"/>
        <v>(五冶钢构龙泉东洪片区85亩住宅、商业及配套工程项目二标段)成都市龙泉驿外东洪路地铁2号线惠王陵地铁C口</v>
      </c>
      <c r="H66" s="40" t="s">
        <v>417</v>
      </c>
      <c r="I66" s="40">
        <v>18381013849</v>
      </c>
      <c r="J66" s="55"/>
      <c r="K66" s="52" t="s">
        <v>418</v>
      </c>
      <c r="L66" s="54"/>
      <c r="M66" s="39" t="s">
        <v>411</v>
      </c>
    </row>
    <row r="67" s="25" customFormat="1" spans="1:13">
      <c r="A67" s="26"/>
      <c r="B67" s="26"/>
      <c r="C67" s="27"/>
      <c r="D67" s="39" t="s">
        <v>407</v>
      </c>
      <c r="E67" s="39" t="s">
        <v>229</v>
      </c>
      <c r="F67" s="40" t="s">
        <v>408</v>
      </c>
      <c r="G67" s="39" t="str">
        <f t="shared" si="2"/>
        <v>(五冶钢构龙泉东洪片区85亩住宅、商业及配套工程项目三标段)成都市龙泉驿外东洪路地铁2号线惠王陵地铁C口</v>
      </c>
      <c r="H67" s="40" t="s">
        <v>419</v>
      </c>
      <c r="I67" s="40">
        <v>13889142392</v>
      </c>
      <c r="J67" s="55"/>
      <c r="K67" s="52" t="s">
        <v>420</v>
      </c>
      <c r="L67" s="54"/>
      <c r="M67" s="39" t="s">
        <v>411</v>
      </c>
    </row>
    <row r="68" s="25" customFormat="1" spans="1:13">
      <c r="A68" s="26"/>
      <c r="B68" s="26"/>
      <c r="C68" s="27"/>
      <c r="D68" s="46" t="s">
        <v>421</v>
      </c>
      <c r="E68" s="39" t="s">
        <v>188</v>
      </c>
      <c r="F68" s="40" t="s">
        <v>403</v>
      </c>
      <c r="G68" s="39" t="str">
        <f>"("&amp;E68&amp;")"&amp;"四川省达州市达川区斌郎街道四川省达州市达川区洞洞湾256米"</f>
        <v>(武汉电气化局成达万高铁强电项目-达州主城区)四川省达州市达川区斌郎街道四川省达州市达川区洞洞湾256米</v>
      </c>
      <c r="H68" s="40" t="s">
        <v>422</v>
      </c>
      <c r="I68" s="40">
        <v>18228076992</v>
      </c>
      <c r="J68" s="51" t="s">
        <v>423</v>
      </c>
      <c r="K68" s="52" t="s">
        <v>424</v>
      </c>
      <c r="L68" s="54"/>
      <c r="M68" s="39" t="s">
        <v>425</v>
      </c>
    </row>
    <row r="69" s="25" customFormat="1" spans="1:13">
      <c r="A69" s="26"/>
      <c r="B69" s="26"/>
      <c r="C69" s="27"/>
      <c r="D69" s="46" t="s">
        <v>421</v>
      </c>
      <c r="E69" s="39" t="s">
        <v>204</v>
      </c>
      <c r="F69" s="40" t="s">
        <v>403</v>
      </c>
      <c r="G69" s="39" t="str">
        <f>"("&amp;E69&amp;")"&amp;"四川省达州市达川区达州南站"</f>
        <v>(武汉电气化局成达万高铁强电项目-达州主城区-达州南站)四川省达州市达川区达州南站</v>
      </c>
      <c r="H69" s="40" t="s">
        <v>426</v>
      </c>
      <c r="I69" s="40">
        <v>18782679099</v>
      </c>
      <c r="J69" s="51" t="s">
        <v>423</v>
      </c>
      <c r="K69" s="52" t="s">
        <v>424</v>
      </c>
      <c r="L69" s="54"/>
      <c r="M69" s="39" t="s">
        <v>425</v>
      </c>
    </row>
    <row r="70" s="25" customFormat="1" spans="1:13">
      <c r="A70" s="26"/>
      <c r="B70" s="26"/>
      <c r="C70" s="27"/>
      <c r="D70" s="46" t="s">
        <v>421</v>
      </c>
      <c r="E70" s="39" t="s">
        <v>427</v>
      </c>
      <c r="F70" s="40" t="s">
        <v>403</v>
      </c>
      <c r="G70" s="39" t="str">
        <f>"("&amp;E70&amp;")"&amp;"四川省达州市达川区斌郎街道四川省达州市达川区洞洞湾256米"</f>
        <v>(武汉电气化局成达万高铁强电项目-开江县)四川省达州市达川区斌郎街道四川省达州市达川区洞洞湾256米</v>
      </c>
      <c r="H70" s="40" t="s">
        <v>422</v>
      </c>
      <c r="I70" s="40">
        <v>18228076992</v>
      </c>
      <c r="J70" s="51" t="s">
        <v>423</v>
      </c>
      <c r="K70" s="52" t="s">
        <v>424</v>
      </c>
      <c r="L70" s="54"/>
      <c r="M70" s="39" t="s">
        <v>425</v>
      </c>
    </row>
    <row r="71" s="25" customFormat="1" spans="1:13">
      <c r="A71" s="26"/>
      <c r="B71" s="26"/>
      <c r="C71" s="27"/>
      <c r="D71" s="46" t="s">
        <v>421</v>
      </c>
      <c r="E71" s="39" t="s">
        <v>176</v>
      </c>
      <c r="F71" s="40" t="s">
        <v>403</v>
      </c>
      <c r="G71" s="39" t="str">
        <f>"("&amp;E71&amp;")"&amp;"四川省达州市渠县渠北镇雷家湾渠县北站旁"</f>
        <v>(武汉电气化局成达万高铁强电项目-渠县)四川省达州市渠县渠北镇雷家湾渠县北站旁</v>
      </c>
      <c r="H71" s="40" t="s">
        <v>428</v>
      </c>
      <c r="I71" s="40">
        <v>18779627939</v>
      </c>
      <c r="J71" s="51" t="s">
        <v>423</v>
      </c>
      <c r="K71" s="52" t="s">
        <v>424</v>
      </c>
      <c r="L71" s="54"/>
      <c r="M71" s="39" t="s">
        <v>425</v>
      </c>
    </row>
    <row r="72" s="25" customFormat="1" spans="1:13">
      <c r="A72" s="26"/>
      <c r="B72" s="26"/>
      <c r="C72" s="27"/>
      <c r="D72" s="46" t="s">
        <v>421</v>
      </c>
      <c r="E72" s="39" t="s">
        <v>243</v>
      </c>
      <c r="F72" s="40" t="s">
        <v>403</v>
      </c>
      <c r="G72" s="56" t="str">
        <f>"("&amp;E72&amp;")"&amp;"重庆市开州区岳溪镇中心幼儿园东南46米"</f>
        <v>(武汉电气化局成达万高铁强电项目-重庆开州)重庆市开州区岳溪镇中心幼儿园东南46米</v>
      </c>
      <c r="H72" s="40" t="s">
        <v>429</v>
      </c>
      <c r="I72" s="40">
        <v>18628900044</v>
      </c>
      <c r="J72" s="51" t="s">
        <v>423</v>
      </c>
      <c r="K72" s="52" t="s">
        <v>424</v>
      </c>
      <c r="L72" s="54"/>
      <c r="M72" s="39" t="s">
        <v>425</v>
      </c>
    </row>
    <row r="73" s="25" customFormat="1" spans="1:13">
      <c r="A73" s="26"/>
      <c r="B73" s="26"/>
      <c r="C73" s="27"/>
      <c r="D73" s="46" t="s">
        <v>421</v>
      </c>
      <c r="E73" s="39" t="s">
        <v>177</v>
      </c>
      <c r="F73" s="40" t="s">
        <v>403</v>
      </c>
      <c r="G73" s="39" t="str">
        <f>"("&amp;E73&amp;")"&amp;"四川省南充市营山县保真路景阳名城南50米(保真路东)"</f>
        <v>(武汉电气化局成达万高铁强电项目-南充营山)四川省南充市营山县保真路景阳名城南50米(保真路东)</v>
      </c>
      <c r="H73" s="40" t="s">
        <v>430</v>
      </c>
      <c r="I73" s="40">
        <v>18381485052</v>
      </c>
      <c r="J73" s="51" t="s">
        <v>423</v>
      </c>
      <c r="K73" s="52" t="s">
        <v>424</v>
      </c>
      <c r="L73" s="54"/>
      <c r="M73" s="39" t="s">
        <v>425</v>
      </c>
    </row>
    <row r="74" s="25" customFormat="1" spans="1:13">
      <c r="A74" s="26"/>
      <c r="B74" s="26"/>
      <c r="C74" s="27"/>
      <c r="D74" s="44" t="s">
        <v>160</v>
      </c>
      <c r="E74" s="39" t="s">
        <v>160</v>
      </c>
      <c r="F74" s="40" t="s">
        <v>403</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431</v>
      </c>
      <c r="I74" s="40">
        <v>18883488177</v>
      </c>
      <c r="J74" s="51" t="s">
        <v>432</v>
      </c>
      <c r="K74" s="52" t="s">
        <v>433</v>
      </c>
      <c r="L74" s="54"/>
      <c r="M74" s="39" t="s">
        <v>434</v>
      </c>
    </row>
    <row r="75" s="25" customFormat="1" spans="1:13">
      <c r="A75" s="26"/>
      <c r="B75" s="26"/>
      <c r="C75" s="27"/>
      <c r="D75" s="39" t="s">
        <v>435</v>
      </c>
      <c r="E75" s="39" t="s">
        <v>187</v>
      </c>
      <c r="F75" s="40" t="s">
        <v>436</v>
      </c>
      <c r="G75" s="39" t="str">
        <f>"("&amp;E75&amp;")"&amp;"四川省乐山市市中区苏稽镇周山嘴"</f>
        <v>(乐山市校地共建产教融合基地建设项目一标段)四川省乐山市市中区苏稽镇周山嘴</v>
      </c>
      <c r="H75" s="40" t="s">
        <v>437</v>
      </c>
      <c r="I75" s="40">
        <v>13668153241</v>
      </c>
      <c r="J75" s="51" t="s">
        <v>438</v>
      </c>
      <c r="K75" s="52" t="s">
        <v>439</v>
      </c>
      <c r="L75" s="54"/>
      <c r="M75" s="39" t="s">
        <v>440</v>
      </c>
    </row>
    <row r="76" s="25" customFormat="1" spans="1:13">
      <c r="A76" s="26"/>
      <c r="B76" s="26"/>
      <c r="C76" s="27"/>
      <c r="D76" s="39" t="s">
        <v>435</v>
      </c>
      <c r="E76" s="39" t="s">
        <v>186</v>
      </c>
      <c r="F76" s="40" t="s">
        <v>436</v>
      </c>
      <c r="G76" s="39" t="str">
        <f>"("&amp;E76&amp;")"&amp;"四川省乐山市市中区苏稽镇"</f>
        <v>(乐山市校地共建产教融合基地建设项目二标段)四川省乐山市市中区苏稽镇</v>
      </c>
      <c r="H76" s="40" t="s">
        <v>441</v>
      </c>
      <c r="I76" s="40">
        <v>13990276572</v>
      </c>
      <c r="J76" s="51" t="s">
        <v>442</v>
      </c>
      <c r="K76" s="52" t="s">
        <v>443</v>
      </c>
      <c r="L76" s="54"/>
      <c r="M76" s="39" t="s">
        <v>444</v>
      </c>
    </row>
    <row r="77" hidden="1" spans="4:13">
      <c r="D77" s="44" t="s">
        <v>445</v>
      </c>
      <c r="E77" s="45" t="s">
        <v>446</v>
      </c>
      <c r="F77" s="40" t="s">
        <v>447</v>
      </c>
      <c r="G77" s="39" t="str">
        <f t="shared" ref="G71:G116" si="3">"("&amp;E77&amp;")"&amp;"四川省南充市顺庆区搬罾街道学府大道二段"</f>
        <v>(五冶钢构医学科学产业园建设项目房建一部-二标（3-3）)四川省南充市顺庆区搬罾街道学府大道二段</v>
      </c>
      <c r="H77" s="40" t="s">
        <v>448</v>
      </c>
      <c r="I77" s="40">
        <v>18141337338</v>
      </c>
      <c r="J77" s="45" t="s">
        <v>449</v>
      </c>
      <c r="K77" s="50" t="s">
        <v>450</v>
      </c>
      <c r="L77" s="47"/>
      <c r="M77" s="39" t="s">
        <v>451</v>
      </c>
    </row>
    <row r="78" hidden="1" spans="4:13">
      <c r="D78" s="44" t="s">
        <v>445</v>
      </c>
      <c r="E78" s="45" t="s">
        <v>452</v>
      </c>
      <c r="F78" s="40" t="s">
        <v>447</v>
      </c>
      <c r="G78" s="39" t="str">
        <f t="shared" si="3"/>
        <v>(五冶钢构医学科学产业园建设项目房建一部-三标（2-1）)四川省南充市顺庆区搬罾街道学府大道二段</v>
      </c>
      <c r="H78" s="40" t="s">
        <v>448</v>
      </c>
      <c r="I78" s="40">
        <v>18141337338</v>
      </c>
      <c r="J78" s="45" t="s">
        <v>449</v>
      </c>
      <c r="K78" s="50" t="s">
        <v>450</v>
      </c>
      <c r="L78" s="47"/>
      <c r="M78" s="39" t="s">
        <v>451</v>
      </c>
    </row>
    <row r="79" hidden="1" spans="4:13">
      <c r="D79" s="44" t="s">
        <v>445</v>
      </c>
      <c r="E79" s="45" t="s">
        <v>453</v>
      </c>
      <c r="F79" s="40" t="s">
        <v>447</v>
      </c>
      <c r="G79" s="39" t="str">
        <f t="shared" si="3"/>
        <v>(五冶钢构医学科学产业园建设项目房建一部-三标（2-2）)四川省南充市顺庆区搬罾街道学府大道二段</v>
      </c>
      <c r="H79" s="40" t="s">
        <v>448</v>
      </c>
      <c r="I79" s="40">
        <v>18141337338</v>
      </c>
      <c r="J79" s="45" t="s">
        <v>449</v>
      </c>
      <c r="K79" s="50" t="s">
        <v>450</v>
      </c>
      <c r="L79" s="47"/>
      <c r="M79" s="39" t="s">
        <v>451</v>
      </c>
    </row>
    <row r="80" hidden="1" spans="4:13">
      <c r="D80" s="44" t="s">
        <v>445</v>
      </c>
      <c r="E80" s="45" t="s">
        <v>454</v>
      </c>
      <c r="F80" s="40" t="s">
        <v>447</v>
      </c>
      <c r="G80" s="39" t="str">
        <f t="shared" si="3"/>
        <v>(五冶钢构医学科学产业园建设项目房建一部-三标（2-3）)四川省南充市顺庆区搬罾街道学府大道二段</v>
      </c>
      <c r="H80" s="40" t="s">
        <v>448</v>
      </c>
      <c r="I80" s="40">
        <v>18141337338</v>
      </c>
      <c r="J80" s="45" t="s">
        <v>449</v>
      </c>
      <c r="K80" s="50" t="s">
        <v>450</v>
      </c>
      <c r="L80" s="47"/>
      <c r="M80" s="39" t="s">
        <v>451</v>
      </c>
    </row>
    <row r="81" hidden="1" spans="4:13">
      <c r="D81" s="44" t="s">
        <v>445</v>
      </c>
      <c r="E81" s="45" t="s">
        <v>455</v>
      </c>
      <c r="F81" s="40" t="s">
        <v>447</v>
      </c>
      <c r="G81" s="39" t="str">
        <f t="shared" si="3"/>
        <v>(五冶钢构医学科学产业园建设项目房建一部-四标（3-4）)四川省南充市顺庆区搬罾街道学府大道二段</v>
      </c>
      <c r="H81" s="40" t="s">
        <v>448</v>
      </c>
      <c r="I81" s="40">
        <v>18141337338</v>
      </c>
      <c r="J81" s="45" t="s">
        <v>449</v>
      </c>
      <c r="K81" s="50" t="s">
        <v>450</v>
      </c>
      <c r="L81" s="47"/>
      <c r="M81" s="39" t="s">
        <v>451</v>
      </c>
    </row>
    <row r="82" hidden="1" spans="4:13">
      <c r="D82" s="44" t="s">
        <v>445</v>
      </c>
      <c r="E82" s="45" t="s">
        <v>456</v>
      </c>
      <c r="F82" s="40" t="s">
        <v>447</v>
      </c>
      <c r="G82" s="39" t="str">
        <f t="shared" si="3"/>
        <v>(五冶钢构医学科学产业园建设项目房建一部-四标（3-5）)四川省南充市顺庆区搬罾街道学府大道二段</v>
      </c>
      <c r="H82" s="40" t="s">
        <v>448</v>
      </c>
      <c r="I82" s="40">
        <v>18141337338</v>
      </c>
      <c r="J82" s="45" t="s">
        <v>449</v>
      </c>
      <c r="K82" s="50" t="s">
        <v>450</v>
      </c>
      <c r="L82" s="47"/>
      <c r="M82" s="39" t="s">
        <v>451</v>
      </c>
    </row>
    <row r="83" hidden="1" spans="4:13">
      <c r="D83" s="44" t="s">
        <v>445</v>
      </c>
      <c r="E83" s="45" t="s">
        <v>457</v>
      </c>
      <c r="F83" s="40" t="s">
        <v>447</v>
      </c>
      <c r="G83" s="39" t="str">
        <f t="shared" si="3"/>
        <v>(五冶钢构医学科学产业园建设项目房建一部-四标（3-6）)四川省南充市顺庆区搬罾街道学府大道二段</v>
      </c>
      <c r="H83" s="40" t="s">
        <v>448</v>
      </c>
      <c r="I83" s="40">
        <v>18141337338</v>
      </c>
      <c r="J83" s="45" t="s">
        <v>449</v>
      </c>
      <c r="K83" s="50" t="s">
        <v>450</v>
      </c>
      <c r="L83" s="47"/>
      <c r="M83" s="39" t="s">
        <v>451</v>
      </c>
    </row>
    <row r="84" hidden="1" spans="4:13">
      <c r="D84" s="44" t="s">
        <v>445</v>
      </c>
      <c r="E84" s="45" t="s">
        <v>151</v>
      </c>
      <c r="F84" s="40" t="s">
        <v>447</v>
      </c>
      <c r="G84" s="39" t="str">
        <f t="shared" si="3"/>
        <v>(五冶钢构医学科学产业园建设项目房建一部-四标（3-7）)四川省南充市顺庆区搬罾街道学府大道二段</v>
      </c>
      <c r="H84" s="40" t="s">
        <v>448</v>
      </c>
      <c r="I84" s="40">
        <v>18141337338</v>
      </c>
      <c r="J84" s="45" t="s">
        <v>449</v>
      </c>
      <c r="K84" s="50" t="s">
        <v>450</v>
      </c>
      <c r="L84" s="47"/>
      <c r="M84" s="39" t="s">
        <v>451</v>
      </c>
    </row>
    <row r="85" hidden="1" spans="4:13">
      <c r="D85" s="44" t="s">
        <v>445</v>
      </c>
      <c r="E85" s="45" t="s">
        <v>458</v>
      </c>
      <c r="F85" s="40" t="s">
        <v>447</v>
      </c>
      <c r="G85" s="39" t="str">
        <f t="shared" si="3"/>
        <v>(五冶钢构医学科学产业园建设项目房建一部-五标（校医院6-1）)四川省南充市顺庆区搬罾街道学府大道二段</v>
      </c>
      <c r="H85" s="40" t="s">
        <v>448</v>
      </c>
      <c r="I85" s="40">
        <v>18141337338</v>
      </c>
      <c r="J85" s="45" t="s">
        <v>449</v>
      </c>
      <c r="K85" s="50" t="s">
        <v>450</v>
      </c>
      <c r="L85" s="47"/>
      <c r="M85" s="39" t="s">
        <v>451</v>
      </c>
    </row>
    <row r="86" hidden="1" spans="4:13">
      <c r="D86" s="44" t="s">
        <v>445</v>
      </c>
      <c r="E86" s="45" t="s">
        <v>459</v>
      </c>
      <c r="F86" s="40" t="s">
        <v>447</v>
      </c>
      <c r="G86" s="39" t="str">
        <f t="shared" si="3"/>
        <v>(五冶钢构医学科学产业园建设项目房建一部-六标（3-1）)四川省南充市顺庆区搬罾街道学府大道二段</v>
      </c>
      <c r="H86" s="40" t="s">
        <v>448</v>
      </c>
      <c r="I86" s="40">
        <v>18141337338</v>
      </c>
      <c r="J86" s="45" t="s">
        <v>449</v>
      </c>
      <c r="K86" s="50" t="s">
        <v>450</v>
      </c>
      <c r="L86" s="47"/>
      <c r="M86" s="39" t="s">
        <v>451</v>
      </c>
    </row>
    <row r="87" hidden="1" spans="4:13">
      <c r="D87" s="44" t="s">
        <v>445</v>
      </c>
      <c r="E87" s="45" t="s">
        <v>460</v>
      </c>
      <c r="F87" s="40" t="s">
        <v>447</v>
      </c>
      <c r="G87" s="39" t="str">
        <f t="shared" si="3"/>
        <v>(五冶钢构医学科学产业园建设项目房建二部-一标（1-3）)四川省南充市顺庆区搬罾街道学府大道二段</v>
      </c>
      <c r="H87" s="40" t="s">
        <v>461</v>
      </c>
      <c r="I87" s="40">
        <v>19950525030</v>
      </c>
      <c r="J87" s="45" t="s">
        <v>449</v>
      </c>
      <c r="K87" s="50" t="s">
        <v>450</v>
      </c>
      <c r="L87" s="47"/>
      <c r="M87" s="39" t="s">
        <v>451</v>
      </c>
    </row>
    <row r="88" hidden="1" spans="4:13">
      <c r="D88" s="44" t="s">
        <v>445</v>
      </c>
      <c r="E88" s="45" t="s">
        <v>462</v>
      </c>
      <c r="F88" s="40" t="s">
        <v>447</v>
      </c>
      <c r="G88" s="39" t="str">
        <f t="shared" si="3"/>
        <v>(五冶钢构医学科学产业园建设项目房建二部-一标（1-4）)四川省南充市顺庆区搬罾街道学府大道二段</v>
      </c>
      <c r="H88" s="40" t="s">
        <v>461</v>
      </c>
      <c r="I88" s="40">
        <v>19950525030</v>
      </c>
      <c r="J88" s="45" t="s">
        <v>449</v>
      </c>
      <c r="K88" s="50" t="s">
        <v>450</v>
      </c>
      <c r="L88" s="47"/>
      <c r="M88" s="39" t="s">
        <v>451</v>
      </c>
    </row>
    <row r="89" hidden="1" spans="4:13">
      <c r="D89" s="44" t="s">
        <v>445</v>
      </c>
      <c r="E89" s="45" t="s">
        <v>463</v>
      </c>
      <c r="F89" s="40" t="s">
        <v>447</v>
      </c>
      <c r="G89" s="39" t="str">
        <f t="shared" si="3"/>
        <v>(五冶钢构医学科学产业园建设项目房建二部-一标（1-6）)四川省南充市顺庆区搬罾街道学府大道二段</v>
      </c>
      <c r="H89" s="40" t="s">
        <v>461</v>
      </c>
      <c r="I89" s="40">
        <v>19950525030</v>
      </c>
      <c r="J89" s="45" t="s">
        <v>449</v>
      </c>
      <c r="K89" s="50" t="s">
        <v>450</v>
      </c>
      <c r="L89" s="47"/>
      <c r="M89" s="39" t="s">
        <v>451</v>
      </c>
    </row>
    <row r="90" hidden="1" spans="4:13">
      <c r="D90" s="44" t="s">
        <v>445</v>
      </c>
      <c r="E90" s="45" t="s">
        <v>464</v>
      </c>
      <c r="F90" s="40" t="s">
        <v>447</v>
      </c>
      <c r="G90" s="39" t="str">
        <f t="shared" si="3"/>
        <v>(五冶钢构医学科学产业园建设项目房建二部-一标（1-7）)四川省南充市顺庆区搬罾街道学府大道二段</v>
      </c>
      <c r="H90" s="40" t="s">
        <v>461</v>
      </c>
      <c r="I90" s="40">
        <v>19950525030</v>
      </c>
      <c r="J90" s="45" t="s">
        <v>449</v>
      </c>
      <c r="K90" s="50" t="s">
        <v>450</v>
      </c>
      <c r="L90" s="47"/>
      <c r="M90" s="39" t="s">
        <v>451</v>
      </c>
    </row>
    <row r="91" hidden="1" spans="4:13">
      <c r="D91" s="44" t="s">
        <v>445</v>
      </c>
      <c r="E91" s="45" t="s">
        <v>465</v>
      </c>
      <c r="F91" s="40" t="s">
        <v>447</v>
      </c>
      <c r="G91" s="39" t="str">
        <f t="shared" si="3"/>
        <v>(五冶钢构医学科学产业园建设项目房建二部-二标（图情信息中心1-1）)四川省南充市顺庆区搬罾街道学府大道二段</v>
      </c>
      <c r="H91" s="40" t="s">
        <v>461</v>
      </c>
      <c r="I91" s="40">
        <v>19950525030</v>
      </c>
      <c r="J91" s="45" t="s">
        <v>449</v>
      </c>
      <c r="K91" s="50" t="s">
        <v>450</v>
      </c>
      <c r="L91" s="47"/>
      <c r="M91" s="39" t="s">
        <v>451</v>
      </c>
    </row>
    <row r="92" hidden="1" spans="4:13">
      <c r="D92" s="44" t="s">
        <v>445</v>
      </c>
      <c r="E92" s="45" t="s">
        <v>59</v>
      </c>
      <c r="F92" s="40" t="s">
        <v>447</v>
      </c>
      <c r="G92" s="39" t="str">
        <f t="shared" si="3"/>
        <v>(五冶钢构医学科学产业园建设项目房建二部-三标（1-2）)四川省南充市顺庆区搬罾街道学府大道二段</v>
      </c>
      <c r="H92" s="40" t="s">
        <v>461</v>
      </c>
      <c r="I92" s="40">
        <v>19950525030</v>
      </c>
      <c r="J92" s="45" t="s">
        <v>449</v>
      </c>
      <c r="K92" s="50" t="s">
        <v>450</v>
      </c>
      <c r="L92" s="47"/>
      <c r="M92" s="39" t="s">
        <v>451</v>
      </c>
    </row>
    <row r="93" hidden="1" spans="4:13">
      <c r="D93" s="44" t="s">
        <v>445</v>
      </c>
      <c r="E93" s="45" t="s">
        <v>71</v>
      </c>
      <c r="F93" s="40" t="s">
        <v>447</v>
      </c>
      <c r="G93" s="39" t="str">
        <f t="shared" si="3"/>
        <v>(五冶钢构医学科学产业园建设项目房建二部-三标（1-5）)四川省南充市顺庆区搬罾街道学府大道二段</v>
      </c>
      <c r="H93" s="40" t="s">
        <v>461</v>
      </c>
      <c r="I93" s="40">
        <v>19950525030</v>
      </c>
      <c r="J93" s="45" t="s">
        <v>449</v>
      </c>
      <c r="K93" s="50" t="s">
        <v>450</v>
      </c>
      <c r="L93" s="47"/>
      <c r="M93" s="39" t="s">
        <v>451</v>
      </c>
    </row>
    <row r="94" hidden="1" spans="4:13">
      <c r="D94" s="44" t="s">
        <v>445</v>
      </c>
      <c r="E94" s="45" t="s">
        <v>466</v>
      </c>
      <c r="F94" s="40" t="s">
        <v>447</v>
      </c>
      <c r="G94" s="39" t="str">
        <f t="shared" si="3"/>
        <v>(五冶钢构医学科学产业园建设项目房建二部-三标（5-1）)四川省南充市顺庆区搬罾街道学府大道二段</v>
      </c>
      <c r="H94" s="40" t="s">
        <v>461</v>
      </c>
      <c r="I94" s="40">
        <v>19950525030</v>
      </c>
      <c r="J94" s="45" t="s">
        <v>449</v>
      </c>
      <c r="K94" s="50" t="s">
        <v>450</v>
      </c>
      <c r="L94" s="47"/>
      <c r="M94" s="39" t="s">
        <v>451</v>
      </c>
    </row>
    <row r="95" hidden="1" spans="4:13">
      <c r="D95" s="44" t="s">
        <v>445</v>
      </c>
      <c r="E95" s="45" t="s">
        <v>467</v>
      </c>
      <c r="F95" s="40" t="s">
        <v>447</v>
      </c>
      <c r="G95" s="39" t="str">
        <f t="shared" si="3"/>
        <v>(五冶钢构医学科学产业园建设项目房建二部-三标（5-2）)四川省南充市顺庆区搬罾街道学府大道二段</v>
      </c>
      <c r="H95" s="40" t="s">
        <v>461</v>
      </c>
      <c r="I95" s="40">
        <v>19950525030</v>
      </c>
      <c r="J95" s="45" t="s">
        <v>449</v>
      </c>
      <c r="K95" s="50" t="s">
        <v>450</v>
      </c>
      <c r="L95" s="47"/>
      <c r="M95" s="39" t="s">
        <v>451</v>
      </c>
    </row>
    <row r="96" hidden="1" spans="4:13">
      <c r="D96" s="44" t="s">
        <v>445</v>
      </c>
      <c r="E96" s="45" t="s">
        <v>468</v>
      </c>
      <c r="F96" s="40" t="s">
        <v>447</v>
      </c>
      <c r="G96" s="39" t="str">
        <f t="shared" si="3"/>
        <v>(五冶钢构医学科学产业园建设项目房建二部-三标（5-3）)四川省南充市顺庆区搬罾街道学府大道二段</v>
      </c>
      <c r="H96" s="40" t="s">
        <v>461</v>
      </c>
      <c r="I96" s="40">
        <v>19950525030</v>
      </c>
      <c r="J96" s="45" t="s">
        <v>449</v>
      </c>
      <c r="K96" s="50" t="s">
        <v>450</v>
      </c>
      <c r="L96" s="47"/>
      <c r="M96" s="39" t="s">
        <v>451</v>
      </c>
    </row>
    <row r="97" hidden="1" spans="4:13">
      <c r="D97" s="44" t="s">
        <v>445</v>
      </c>
      <c r="E97" s="45" t="s">
        <v>88</v>
      </c>
      <c r="F97" s="40" t="s">
        <v>447</v>
      </c>
      <c r="G97" s="39" t="str">
        <f t="shared" si="3"/>
        <v>(五冶钢构医学科学产业园建设项目房建二部-四标（5-4）)四川省南充市顺庆区搬罾街道学府大道二段</v>
      </c>
      <c r="H97" s="40" t="s">
        <v>461</v>
      </c>
      <c r="I97" s="40">
        <v>19950525030</v>
      </c>
      <c r="J97" s="45" t="s">
        <v>449</v>
      </c>
      <c r="K97" s="50" t="s">
        <v>450</v>
      </c>
      <c r="L97" s="47"/>
      <c r="M97" s="39" t="s">
        <v>451</v>
      </c>
    </row>
    <row r="98" hidden="1" spans="4:13">
      <c r="D98" s="44" t="s">
        <v>445</v>
      </c>
      <c r="E98" s="45" t="s">
        <v>469</v>
      </c>
      <c r="F98" s="40" t="s">
        <v>447</v>
      </c>
      <c r="G98" s="39" t="str">
        <f t="shared" si="3"/>
        <v>(五冶钢构医学科学产业园建设项目房建二部-四标（5-5）)四川省南充市顺庆区搬罾街道学府大道二段</v>
      </c>
      <c r="H98" s="40" t="s">
        <v>461</v>
      </c>
      <c r="I98" s="40">
        <v>19950525030</v>
      </c>
      <c r="J98" s="45" t="s">
        <v>449</v>
      </c>
      <c r="K98" s="50" t="s">
        <v>450</v>
      </c>
      <c r="L98" s="47"/>
      <c r="M98" s="39" t="s">
        <v>451</v>
      </c>
    </row>
    <row r="99" hidden="1" spans="4:13">
      <c r="D99" s="44" t="s">
        <v>445</v>
      </c>
      <c r="E99" s="45" t="s">
        <v>113</v>
      </c>
      <c r="F99" s="40" t="s">
        <v>447</v>
      </c>
      <c r="G99" s="39" t="str">
        <f t="shared" si="3"/>
        <v>(五冶钢构医学科学产业园建设项目房建二部-排洪渠（五标）)四川省南充市顺庆区搬罾街道学府大道二段</v>
      </c>
      <c r="H99" s="40" t="s">
        <v>461</v>
      </c>
      <c r="I99" s="40">
        <v>19950525030</v>
      </c>
      <c r="J99" s="45" t="s">
        <v>449</v>
      </c>
      <c r="K99" s="50" t="s">
        <v>450</v>
      </c>
      <c r="L99" s="47"/>
      <c r="M99" s="39" t="s">
        <v>451</v>
      </c>
    </row>
    <row r="100" hidden="1" spans="4:13">
      <c r="D100" s="44" t="s">
        <v>445</v>
      </c>
      <c r="E100" s="45" t="s">
        <v>60</v>
      </c>
      <c r="F100" s="40" t="s">
        <v>447</v>
      </c>
      <c r="G100" s="39" t="str">
        <f t="shared" si="3"/>
        <v>(五冶钢构医学科学产业园建设项目房建二部-六标)四川省南充市顺庆区搬罾街道学府大道二段</v>
      </c>
      <c r="H100" s="40" t="s">
        <v>461</v>
      </c>
      <c r="I100" s="40">
        <v>19950525030</v>
      </c>
      <c r="J100" s="45" t="s">
        <v>449</v>
      </c>
      <c r="K100" s="50" t="s">
        <v>450</v>
      </c>
      <c r="L100" s="47"/>
      <c r="M100" s="39" t="s">
        <v>451</v>
      </c>
    </row>
    <row r="101" hidden="1" spans="4:13">
      <c r="D101" s="44" t="s">
        <v>445</v>
      </c>
      <c r="E101" s="45" t="s">
        <v>72</v>
      </c>
      <c r="F101" s="40" t="s">
        <v>447</v>
      </c>
      <c r="G101" s="39" t="str">
        <f t="shared" si="3"/>
        <v>(五冶钢构医学科学产业园建设项目房建二部-网羽馆（6-5）)四川省南充市顺庆区搬罾街道学府大道二段</v>
      </c>
      <c r="H101" s="40" t="s">
        <v>461</v>
      </c>
      <c r="I101" s="40">
        <v>19950525030</v>
      </c>
      <c r="J101" s="45" t="s">
        <v>449</v>
      </c>
      <c r="K101" s="50" t="s">
        <v>450</v>
      </c>
      <c r="L101" s="47"/>
      <c r="M101" s="39" t="s">
        <v>451</v>
      </c>
    </row>
    <row r="102" hidden="1" spans="4:13">
      <c r="D102" s="44" t="s">
        <v>445</v>
      </c>
      <c r="E102" s="45" t="s">
        <v>470</v>
      </c>
      <c r="F102" s="40" t="s">
        <v>447</v>
      </c>
      <c r="G102" s="39" t="str">
        <f t="shared" si="3"/>
        <v>(五冶钢构医学科学产业园建设项目房建三部-一标（4-1）)四川省南充市顺庆区搬罾街道学府大道二段</v>
      </c>
      <c r="H102" s="40" t="s">
        <v>471</v>
      </c>
      <c r="I102" s="40">
        <v>18349955455</v>
      </c>
      <c r="J102" s="45" t="s">
        <v>449</v>
      </c>
      <c r="K102" s="50" t="s">
        <v>450</v>
      </c>
      <c r="L102" s="47"/>
      <c r="M102" s="39" t="s">
        <v>451</v>
      </c>
    </row>
    <row r="103" hidden="1" spans="4:13">
      <c r="D103" s="44" t="s">
        <v>445</v>
      </c>
      <c r="E103" s="45" t="s">
        <v>472</v>
      </c>
      <c r="F103" s="40" t="s">
        <v>447</v>
      </c>
      <c r="G103" s="39" t="str">
        <f t="shared" si="3"/>
        <v>(五冶钢构医学科学产业园建设项目房建三部-一标（4-2）)四川省南充市顺庆区搬罾街道学府大道二段</v>
      </c>
      <c r="H103" s="40" t="s">
        <v>471</v>
      </c>
      <c r="I103" s="40">
        <v>18349955455</v>
      </c>
      <c r="J103" s="45" t="s">
        <v>449</v>
      </c>
      <c r="K103" s="50" t="s">
        <v>450</v>
      </c>
      <c r="L103" s="47"/>
      <c r="M103" s="39" t="s">
        <v>451</v>
      </c>
    </row>
    <row r="104" hidden="1" spans="4:13">
      <c r="D104" s="44" t="s">
        <v>445</v>
      </c>
      <c r="E104" s="45" t="s">
        <v>473</v>
      </c>
      <c r="F104" s="40" t="s">
        <v>447</v>
      </c>
      <c r="G104" s="39" t="str">
        <f t="shared" si="3"/>
        <v>(五冶钢构医学科学产业园建设项目房建三部-一标（4-3）)四川省南充市顺庆区搬罾街道学府大道二段</v>
      </c>
      <c r="H104" s="40" t="s">
        <v>471</v>
      </c>
      <c r="I104" s="40">
        <v>18349955455</v>
      </c>
      <c r="J104" s="45" t="s">
        <v>449</v>
      </c>
      <c r="K104" s="50" t="s">
        <v>450</v>
      </c>
      <c r="L104" s="47"/>
      <c r="M104" s="39" t="s">
        <v>451</v>
      </c>
    </row>
    <row r="105" hidden="1" spans="4:13">
      <c r="D105" s="44" t="s">
        <v>445</v>
      </c>
      <c r="E105" s="45" t="s">
        <v>474</v>
      </c>
      <c r="F105" s="40" t="s">
        <v>447</v>
      </c>
      <c r="G105" s="39" t="str">
        <f t="shared" si="3"/>
        <v>(五冶钢构医学科学产业园建设项目房建三部-一标（4-4）)四川省南充市顺庆区搬罾街道学府大道二段</v>
      </c>
      <c r="H105" s="40" t="s">
        <v>471</v>
      </c>
      <c r="I105" s="40">
        <v>18349955455</v>
      </c>
      <c r="J105" s="45" t="s">
        <v>449</v>
      </c>
      <c r="K105" s="50" t="s">
        <v>450</v>
      </c>
      <c r="L105" s="47"/>
      <c r="M105" s="39" t="s">
        <v>451</v>
      </c>
    </row>
    <row r="106" hidden="1" spans="4:13">
      <c r="D106" s="44" t="s">
        <v>445</v>
      </c>
      <c r="E106" s="45" t="s">
        <v>475</v>
      </c>
      <c r="F106" s="40" t="s">
        <v>447</v>
      </c>
      <c r="G106" s="39" t="str">
        <f t="shared" si="3"/>
        <v>(五冶钢构医学科学产业园建设项目房建三部-一标（4-5）)四川省南充市顺庆区搬罾街道学府大道二段</v>
      </c>
      <c r="H106" s="40" t="s">
        <v>471</v>
      </c>
      <c r="I106" s="40">
        <v>18349955455</v>
      </c>
      <c r="J106" s="45" t="s">
        <v>449</v>
      </c>
      <c r="K106" s="50" t="s">
        <v>450</v>
      </c>
      <c r="L106" s="47"/>
      <c r="M106" s="39" t="s">
        <v>451</v>
      </c>
    </row>
    <row r="107" hidden="1" spans="4:13">
      <c r="D107" s="44" t="s">
        <v>445</v>
      </c>
      <c r="E107" s="45" t="s">
        <v>476</v>
      </c>
      <c r="F107" s="40" t="s">
        <v>447</v>
      </c>
      <c r="G107" s="39" t="str">
        <f t="shared" si="3"/>
        <v>(五冶钢构医学科学产业园建设项目房建三部-一标（4-6）)四川省南充市顺庆区搬罾街道学府大道二段</v>
      </c>
      <c r="H107" s="40" t="s">
        <v>471</v>
      </c>
      <c r="I107" s="40">
        <v>18349955455</v>
      </c>
      <c r="J107" s="45" t="s">
        <v>449</v>
      </c>
      <c r="K107" s="50" t="s">
        <v>450</v>
      </c>
      <c r="L107" s="47"/>
      <c r="M107" s="39" t="s">
        <v>451</v>
      </c>
    </row>
    <row r="108" hidden="1" spans="4:13">
      <c r="D108" s="44" t="s">
        <v>445</v>
      </c>
      <c r="E108" s="45" t="s">
        <v>73</v>
      </c>
      <c r="F108" s="40" t="s">
        <v>447</v>
      </c>
      <c r="G108" s="39" t="str">
        <f t="shared" si="3"/>
        <v>(五冶钢构医学科学产业园建设项目房建三部-一标（7-1）)四川省南充市顺庆区搬罾街道学府大道二段</v>
      </c>
      <c r="H108" s="40" t="s">
        <v>471</v>
      </c>
      <c r="I108" s="40">
        <v>18349955455</v>
      </c>
      <c r="J108" s="45" t="s">
        <v>449</v>
      </c>
      <c r="K108" s="50" t="s">
        <v>450</v>
      </c>
      <c r="L108" s="47"/>
      <c r="M108" s="39" t="s">
        <v>451</v>
      </c>
    </row>
    <row r="109" hidden="1" spans="4:13">
      <c r="D109" s="44" t="s">
        <v>445</v>
      </c>
      <c r="E109" s="45" t="s">
        <v>20</v>
      </c>
      <c r="F109" s="40" t="s">
        <v>447</v>
      </c>
      <c r="G109" s="39" t="str">
        <f t="shared" si="3"/>
        <v>(五冶钢构医学科学产业园建设项目房建三部-一标（7-2）)四川省南充市顺庆区搬罾街道学府大道二段</v>
      </c>
      <c r="H109" s="40" t="s">
        <v>471</v>
      </c>
      <c r="I109" s="40">
        <v>18349955455</v>
      </c>
      <c r="J109" s="45" t="s">
        <v>449</v>
      </c>
      <c r="K109" s="50" t="s">
        <v>450</v>
      </c>
      <c r="L109" s="47"/>
      <c r="M109" s="39" t="s">
        <v>451</v>
      </c>
    </row>
    <row r="110" hidden="1" spans="4:13">
      <c r="D110" s="44" t="s">
        <v>445</v>
      </c>
      <c r="E110" s="45" t="s">
        <v>23</v>
      </c>
      <c r="F110" s="40" t="s">
        <v>447</v>
      </c>
      <c r="G110" s="39" t="str">
        <f t="shared" si="3"/>
        <v>(五冶钢构医学科学产业园建设项目房建三部-一标（7-3）)四川省南充市顺庆区搬罾街道学府大道二段</v>
      </c>
      <c r="H110" s="40" t="s">
        <v>471</v>
      </c>
      <c r="I110" s="40">
        <v>18349955455</v>
      </c>
      <c r="J110" s="45" t="s">
        <v>449</v>
      </c>
      <c r="K110" s="50" t="s">
        <v>450</v>
      </c>
      <c r="L110" s="47"/>
      <c r="M110" s="39" t="s">
        <v>451</v>
      </c>
    </row>
    <row r="111" hidden="1" spans="4:13">
      <c r="D111" s="44" t="s">
        <v>445</v>
      </c>
      <c r="E111" s="45" t="s">
        <v>24</v>
      </c>
      <c r="F111" s="40" t="s">
        <v>447</v>
      </c>
      <c r="G111" s="39" t="str">
        <f t="shared" si="3"/>
        <v>(五冶钢构医学科学产业园建设项目房建三部-一标（7-4）)四川省南充市顺庆区搬罾街道学府大道二段</v>
      </c>
      <c r="H111" s="40" t="s">
        <v>471</v>
      </c>
      <c r="I111" s="40">
        <v>18349955455</v>
      </c>
      <c r="J111" s="45" t="s">
        <v>449</v>
      </c>
      <c r="K111" s="50" t="s">
        <v>450</v>
      </c>
      <c r="L111" s="47"/>
      <c r="M111" s="39" t="s">
        <v>451</v>
      </c>
    </row>
    <row r="112" hidden="1" spans="4:13">
      <c r="D112" s="44" t="s">
        <v>445</v>
      </c>
      <c r="E112" s="39" t="s">
        <v>89</v>
      </c>
      <c r="F112" s="40" t="s">
        <v>447</v>
      </c>
      <c r="G112" s="39" t="str">
        <f t="shared" si="3"/>
        <v>(五冶钢构医学科学产业园建设项目房建三部-排洪渠)四川省南充市顺庆区搬罾街道学府大道二段</v>
      </c>
      <c r="H112" s="40" t="s">
        <v>471</v>
      </c>
      <c r="I112" s="40">
        <v>18349955455</v>
      </c>
      <c r="J112" s="45" t="s">
        <v>449</v>
      </c>
      <c r="K112" s="50" t="s">
        <v>450</v>
      </c>
      <c r="L112" s="47"/>
      <c r="M112" s="39" t="s">
        <v>451</v>
      </c>
    </row>
    <row r="113" hidden="1" spans="4:13">
      <c r="D113" s="44" t="s">
        <v>445</v>
      </c>
      <c r="E113" s="39" t="s">
        <v>127</v>
      </c>
      <c r="F113" s="40" t="s">
        <v>447</v>
      </c>
      <c r="G113" s="39" t="str">
        <f t="shared" si="3"/>
        <v>(五冶钢构医学科学产业园建设项目房建三部-管网总坪)四川省南充市顺庆区搬罾街道学府大道二段</v>
      </c>
      <c r="H113" s="40" t="s">
        <v>471</v>
      </c>
      <c r="I113" s="40">
        <v>18349955455</v>
      </c>
      <c r="J113" s="45" t="s">
        <v>449</v>
      </c>
      <c r="K113" s="50" t="s">
        <v>450</v>
      </c>
      <c r="L113" s="47"/>
      <c r="M113" s="39" t="s">
        <v>451</v>
      </c>
    </row>
    <row r="114" hidden="1" spans="4:13">
      <c r="D114" s="44" t="s">
        <v>445</v>
      </c>
      <c r="E114" s="39" t="s">
        <v>117</v>
      </c>
      <c r="F114" s="40" t="s">
        <v>447</v>
      </c>
      <c r="G114" s="39" t="str">
        <f t="shared" si="3"/>
        <v>(五冶钢构医学科学产业园建设项目房建三部-配套用房及围墙)四川省南充市顺庆区搬罾街道学府大道二段</v>
      </c>
      <c r="H114" s="40" t="s">
        <v>471</v>
      </c>
      <c r="I114" s="40">
        <v>18349955455</v>
      </c>
      <c r="J114" s="45" t="s">
        <v>449</v>
      </c>
      <c r="K114" s="50" t="s">
        <v>450</v>
      </c>
      <c r="L114" s="47"/>
      <c r="M114" s="39" t="s">
        <v>451</v>
      </c>
    </row>
    <row r="115" hidden="1" spans="4:13">
      <c r="D115" s="44" t="s">
        <v>445</v>
      </c>
      <c r="E115" s="39" t="s">
        <v>477</v>
      </c>
      <c r="F115" s="40" t="s">
        <v>447</v>
      </c>
      <c r="G115" s="39" t="str">
        <f t="shared" si="3"/>
        <v>(五冶钢构医学科学产业园建设项目房建连接线道路工程-1)四川省南充市顺庆区搬罾街道学府大道二段</v>
      </c>
      <c r="H115" s="40" t="s">
        <v>478</v>
      </c>
      <c r="I115" s="40">
        <v>13908143055</v>
      </c>
      <c r="J115" s="45" t="s">
        <v>449</v>
      </c>
      <c r="K115" s="50" t="s">
        <v>450</v>
      </c>
      <c r="L115" s="47"/>
      <c r="M115" s="39" t="s">
        <v>451</v>
      </c>
    </row>
    <row r="116" hidden="1" spans="4:13">
      <c r="D116" s="44" t="s">
        <v>445</v>
      </c>
      <c r="E116" s="39" t="s">
        <v>479</v>
      </c>
      <c r="F116" s="40" t="s">
        <v>447</v>
      </c>
      <c r="G116" s="39" t="str">
        <f t="shared" si="3"/>
        <v>(五冶钢构医学科学产业园建设项目房建连接线道路工程-2)四川省南充市顺庆区搬罾街道学府大道二段</v>
      </c>
      <c r="H116" s="40" t="s">
        <v>480</v>
      </c>
      <c r="I116" s="40">
        <v>15982411682</v>
      </c>
      <c r="J116" s="45" t="s">
        <v>449</v>
      </c>
      <c r="K116" s="50" t="s">
        <v>450</v>
      </c>
      <c r="L116" s="47"/>
      <c r="M116" s="39" t="s">
        <v>451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481</v>
      </c>
      <c r="B1" s="20" t="s">
        <v>482</v>
      </c>
      <c r="C1" s="20" t="s">
        <v>483</v>
      </c>
    </row>
    <row r="2" s="18" customFormat="1" spans="1:4">
      <c r="A2" s="21" t="s">
        <v>484</v>
      </c>
      <c r="B2" s="21" t="s">
        <v>485</v>
      </c>
      <c r="C2" s="22" t="s">
        <v>486</v>
      </c>
      <c r="D2" s="23"/>
    </row>
    <row r="3" s="18" customFormat="1" spans="1:4">
      <c r="A3" s="21" t="s">
        <v>81</v>
      </c>
      <c r="B3" s="21" t="s">
        <v>487</v>
      </c>
      <c r="C3" s="24" t="s">
        <v>488</v>
      </c>
      <c r="D3" s="23"/>
    </row>
    <row r="4" s="18" customFormat="1" spans="1:4">
      <c r="A4" s="21" t="s">
        <v>44</v>
      </c>
      <c r="B4" s="21" t="s">
        <v>489</v>
      </c>
      <c r="C4" s="24" t="s">
        <v>490</v>
      </c>
      <c r="D4" s="23"/>
    </row>
    <row r="5" s="18" customFormat="1" spans="1:4">
      <c r="A5" s="21" t="s">
        <v>92</v>
      </c>
      <c r="B5" s="21" t="s">
        <v>491</v>
      </c>
      <c r="C5" s="24" t="s">
        <v>492</v>
      </c>
      <c r="D5" s="23"/>
    </row>
    <row r="6" s="18" customFormat="1" spans="1:4">
      <c r="A6" s="21" t="s">
        <v>277</v>
      </c>
      <c r="B6" s="21" t="s">
        <v>493</v>
      </c>
      <c r="C6" s="24" t="s">
        <v>494</v>
      </c>
      <c r="D6" s="23"/>
    </row>
    <row r="7" s="18" customFormat="1" spans="1:4">
      <c r="A7" s="21" t="s">
        <v>289</v>
      </c>
      <c r="B7" s="21" t="s">
        <v>495</v>
      </c>
      <c r="C7" s="24" t="s">
        <v>496</v>
      </c>
      <c r="D7" s="23"/>
    </row>
    <row r="8" s="18" customFormat="1" spans="1:4">
      <c r="A8" s="21" t="s">
        <v>186</v>
      </c>
      <c r="B8" s="21" t="s">
        <v>497</v>
      </c>
      <c r="C8" s="24" t="s">
        <v>498</v>
      </c>
      <c r="D8" s="23"/>
    </row>
    <row r="9" s="18" customFormat="1" spans="1:4">
      <c r="A9" s="21" t="s">
        <v>187</v>
      </c>
      <c r="B9" s="21" t="s">
        <v>499</v>
      </c>
      <c r="C9" s="24" t="s">
        <v>500</v>
      </c>
      <c r="D9" s="23"/>
    </row>
    <row r="10" s="18" customFormat="1" spans="1:4">
      <c r="A10" s="21" t="s">
        <v>309</v>
      </c>
      <c r="B10" s="21" t="s">
        <v>501</v>
      </c>
      <c r="C10" s="24" t="s">
        <v>502</v>
      </c>
      <c r="D10" s="23"/>
    </row>
    <row r="11" s="18" customFormat="1" spans="1:4">
      <c r="A11" s="21" t="s">
        <v>503</v>
      </c>
      <c r="B11" s="21" t="s">
        <v>504</v>
      </c>
      <c r="C11" s="24" t="s">
        <v>505</v>
      </c>
      <c r="D11" s="23"/>
    </row>
    <row r="12" s="18" customFormat="1" spans="1:4">
      <c r="A12" s="21" t="s">
        <v>343</v>
      </c>
      <c r="B12" s="21" t="s">
        <v>506</v>
      </c>
      <c r="C12" s="24" t="s">
        <v>507</v>
      </c>
      <c r="D12" s="23"/>
    </row>
    <row r="13" s="18" customFormat="1" spans="1:4">
      <c r="A13" s="21" t="s">
        <v>407</v>
      </c>
      <c r="B13" s="21" t="s">
        <v>508</v>
      </c>
      <c r="C13" s="22" t="s">
        <v>509</v>
      </c>
      <c r="D13" s="23"/>
    </row>
    <row r="14" s="18" customFormat="1" spans="1:4">
      <c r="A14" s="21" t="s">
        <v>340</v>
      </c>
      <c r="B14" s="21" t="s">
        <v>510</v>
      </c>
      <c r="C14" s="24" t="s">
        <v>511</v>
      </c>
      <c r="D14" s="23"/>
    </row>
    <row r="15" s="18" customFormat="1" spans="1:4">
      <c r="A15" s="21" t="s">
        <v>192</v>
      </c>
      <c r="B15" s="21" t="s">
        <v>512</v>
      </c>
      <c r="C15" s="24" t="s">
        <v>513</v>
      </c>
      <c r="D15" s="23"/>
    </row>
    <row r="16" s="18" customFormat="1" spans="1:4">
      <c r="A16" s="21" t="s">
        <v>211</v>
      </c>
      <c r="B16" s="21" t="s">
        <v>514</v>
      </c>
      <c r="C16" s="22" t="s">
        <v>515</v>
      </c>
      <c r="D16" s="23"/>
    </row>
    <row r="17" s="18" customFormat="1" spans="1:4">
      <c r="A17" s="21" t="s">
        <v>208</v>
      </c>
      <c r="B17" s="21" t="s">
        <v>516</v>
      </c>
      <c r="C17" s="22" t="s">
        <v>517</v>
      </c>
      <c r="D17" s="23"/>
    </row>
    <row r="18" s="18" customFormat="1" spans="1:4">
      <c r="A18" s="21" t="s">
        <v>203</v>
      </c>
      <c r="B18" s="21" t="s">
        <v>518</v>
      </c>
      <c r="C18" s="22" t="s">
        <v>519</v>
      </c>
      <c r="D18" s="23"/>
    </row>
    <row r="19" s="18" customFormat="1" spans="1:4">
      <c r="A19" s="21" t="s">
        <v>167</v>
      </c>
      <c r="B19" s="21" t="s">
        <v>520</v>
      </c>
      <c r="C19" s="24" t="s">
        <v>521</v>
      </c>
      <c r="D19" s="23"/>
    </row>
    <row r="20" s="18" customFormat="1" spans="1:4">
      <c r="A20" s="21" t="s">
        <v>373</v>
      </c>
      <c r="B20" s="21" t="s">
        <v>522</v>
      </c>
      <c r="C20" s="24" t="s">
        <v>523</v>
      </c>
      <c r="D20" s="23"/>
    </row>
    <row r="21" s="18" customFormat="1" spans="1:4">
      <c r="A21" s="21" t="s">
        <v>215</v>
      </c>
      <c r="B21" s="21" t="s">
        <v>524</v>
      </c>
      <c r="C21" s="22" t="s">
        <v>525</v>
      </c>
      <c r="D21" s="23"/>
    </row>
    <row r="22" s="18" customFormat="1" spans="1:4">
      <c r="A22" s="21" t="s">
        <v>196</v>
      </c>
      <c r="B22" s="21" t="s">
        <v>526</v>
      </c>
      <c r="C22" s="22" t="s">
        <v>527</v>
      </c>
      <c r="D22" s="23"/>
    </row>
    <row r="23" s="18" customFormat="1" spans="1:4">
      <c r="A23" s="21" t="s">
        <v>421</v>
      </c>
      <c r="B23" s="21" t="s">
        <v>528</v>
      </c>
      <c r="C23" s="24" t="s">
        <v>529</v>
      </c>
      <c r="D23" s="23"/>
    </row>
    <row r="24" s="18" customFormat="1" spans="1:4">
      <c r="A24" s="21" t="s">
        <v>128</v>
      </c>
      <c r="B24" s="21" t="s">
        <v>530</v>
      </c>
      <c r="C24" s="24" t="s">
        <v>531</v>
      </c>
      <c r="D24" s="23"/>
    </row>
    <row r="25" s="18" customFormat="1" spans="1:4">
      <c r="A25" s="21" t="s">
        <v>150</v>
      </c>
      <c r="B25" s="21" t="s">
        <v>532</v>
      </c>
      <c r="C25" s="24" t="s">
        <v>533</v>
      </c>
      <c r="D25" s="23"/>
    </row>
    <row r="26" s="18" customFormat="1" spans="1:4">
      <c r="A26" s="21" t="s">
        <v>160</v>
      </c>
      <c r="B26" s="21" t="s">
        <v>534</v>
      </c>
      <c r="C26" s="24" t="s">
        <v>535</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536</v>
      </c>
      <c r="C2" s="14" t="s">
        <v>537</v>
      </c>
    </row>
    <row r="3" spans="1:3">
      <c r="A3" s="14" t="s">
        <v>44</v>
      </c>
      <c r="B3" s="15" t="s">
        <v>536</v>
      </c>
      <c r="C3" s="14" t="s">
        <v>538</v>
      </c>
    </row>
    <row r="4" spans="1:3">
      <c r="A4" s="14" t="s">
        <v>92</v>
      </c>
      <c r="B4" s="15" t="s">
        <v>536</v>
      </c>
      <c r="C4" s="14" t="s">
        <v>539</v>
      </c>
    </row>
    <row r="5" spans="1:3">
      <c r="A5" s="14" t="s">
        <v>277</v>
      </c>
      <c r="B5" s="15" t="s">
        <v>536</v>
      </c>
      <c r="C5" s="14" t="s">
        <v>540</v>
      </c>
    </row>
    <row r="6" spans="1:3">
      <c r="A6" s="14" t="s">
        <v>289</v>
      </c>
      <c r="B6" s="15" t="s">
        <v>536</v>
      </c>
      <c r="C6" s="14" t="s">
        <v>541</v>
      </c>
    </row>
    <row r="7" spans="1:3">
      <c r="A7" s="14" t="s">
        <v>293</v>
      </c>
      <c r="B7" s="15" t="s">
        <v>536</v>
      </c>
      <c r="C7" s="14" t="s">
        <v>542</v>
      </c>
    </row>
    <row r="8" spans="1:3">
      <c r="A8" s="14" t="s">
        <v>186</v>
      </c>
      <c r="B8" s="15" t="s">
        <v>536</v>
      </c>
      <c r="C8" s="14" t="s">
        <v>543</v>
      </c>
    </row>
    <row r="9" spans="1:3">
      <c r="A9" s="14" t="s">
        <v>187</v>
      </c>
      <c r="B9" s="15" t="s">
        <v>536</v>
      </c>
      <c r="C9" s="14" t="s">
        <v>544</v>
      </c>
    </row>
    <row r="10" ht="13.5" spans="1:3">
      <c r="A10" s="14" t="s">
        <v>309</v>
      </c>
      <c r="B10" s="15" t="s">
        <v>536</v>
      </c>
      <c r="C10" s="16" t="s">
        <v>545</v>
      </c>
    </row>
    <row r="11" spans="1:3">
      <c r="A11" s="14" t="s">
        <v>335</v>
      </c>
      <c r="B11" s="15" t="s">
        <v>536</v>
      </c>
      <c r="C11" s="14" t="s">
        <v>546</v>
      </c>
    </row>
    <row r="12" spans="1:3">
      <c r="A12" s="14" t="s">
        <v>255</v>
      </c>
      <c r="B12" s="15" t="s">
        <v>536</v>
      </c>
      <c r="C12" s="14" t="s">
        <v>547</v>
      </c>
    </row>
    <row r="13" spans="1:3">
      <c r="A13" s="14" t="s">
        <v>145</v>
      </c>
      <c r="B13" s="15" t="s">
        <v>536</v>
      </c>
      <c r="C13" s="14" t="s">
        <v>548</v>
      </c>
    </row>
    <row r="14" spans="1:3">
      <c r="A14" s="14" t="s">
        <v>343</v>
      </c>
      <c r="B14" s="15" t="s">
        <v>536</v>
      </c>
      <c r="C14" s="14" t="s">
        <v>549</v>
      </c>
    </row>
    <row r="15" spans="1:3">
      <c r="A15" s="14" t="s">
        <v>228</v>
      </c>
      <c r="B15" s="15" t="s">
        <v>536</v>
      </c>
      <c r="C15" s="14" t="s">
        <v>550</v>
      </c>
    </row>
    <row r="16" spans="1:3">
      <c r="A16" s="14" t="s">
        <v>240</v>
      </c>
      <c r="B16" s="15" t="s">
        <v>536</v>
      </c>
      <c r="C16" s="14" t="s">
        <v>551</v>
      </c>
    </row>
    <row r="17" spans="1:3">
      <c r="A17" s="14" t="s">
        <v>224</v>
      </c>
      <c r="B17" s="15" t="s">
        <v>536</v>
      </c>
      <c r="C17" s="14" t="s">
        <v>552</v>
      </c>
    </row>
    <row r="18" spans="1:3">
      <c r="A18" s="14" t="s">
        <v>226</v>
      </c>
      <c r="B18" s="15" t="s">
        <v>536</v>
      </c>
      <c r="C18" s="14" t="s">
        <v>553</v>
      </c>
    </row>
    <row r="19" spans="1:3">
      <c r="A19" s="14" t="s">
        <v>229</v>
      </c>
      <c r="B19" s="15" t="s">
        <v>536</v>
      </c>
      <c r="C19" s="14" t="s">
        <v>554</v>
      </c>
    </row>
    <row r="20" spans="1:3">
      <c r="A20" s="14" t="s">
        <v>225</v>
      </c>
      <c r="B20" s="15" t="s">
        <v>536</v>
      </c>
      <c r="C20" s="14" t="s">
        <v>555</v>
      </c>
    </row>
    <row r="21" spans="1:3">
      <c r="A21" s="14" t="s">
        <v>340</v>
      </c>
      <c r="B21" s="15" t="s">
        <v>536</v>
      </c>
      <c r="C21" s="14" t="s">
        <v>556</v>
      </c>
    </row>
    <row r="22" spans="1:3">
      <c r="A22" s="14" t="s">
        <v>192</v>
      </c>
      <c r="B22" s="15" t="s">
        <v>536</v>
      </c>
      <c r="C22" s="14" t="s">
        <v>557</v>
      </c>
    </row>
    <row r="23" spans="1:3">
      <c r="A23" s="14" t="s">
        <v>230</v>
      </c>
      <c r="B23" s="15" t="s">
        <v>536</v>
      </c>
      <c r="C23" s="14" t="s">
        <v>558</v>
      </c>
    </row>
    <row r="24" spans="1:3">
      <c r="A24" s="14" t="s">
        <v>231</v>
      </c>
      <c r="B24" s="15" t="s">
        <v>536</v>
      </c>
      <c r="C24" s="14" t="s">
        <v>559</v>
      </c>
    </row>
    <row r="25" spans="1:3">
      <c r="A25" s="14" t="s">
        <v>208</v>
      </c>
      <c r="B25" s="15" t="s">
        <v>536</v>
      </c>
      <c r="C25" s="14" t="s">
        <v>560</v>
      </c>
    </row>
    <row r="26" spans="1:3">
      <c r="A26" s="14" t="s">
        <v>203</v>
      </c>
      <c r="B26" s="15" t="s">
        <v>536</v>
      </c>
      <c r="C26" s="14" t="s">
        <v>561</v>
      </c>
    </row>
    <row r="27" spans="1:3">
      <c r="A27" s="14" t="s">
        <v>167</v>
      </c>
      <c r="B27" s="15" t="s">
        <v>536</v>
      </c>
      <c r="C27" s="14" t="s">
        <v>562</v>
      </c>
    </row>
    <row r="28" spans="1:3">
      <c r="A28" s="14" t="s">
        <v>373</v>
      </c>
      <c r="B28" s="15" t="s">
        <v>536</v>
      </c>
      <c r="C28" s="14" t="s">
        <v>563</v>
      </c>
    </row>
    <row r="29" spans="1:3">
      <c r="A29" s="14" t="s">
        <v>215</v>
      </c>
      <c r="B29" s="15" t="s">
        <v>536</v>
      </c>
      <c r="C29" s="14" t="s">
        <v>564</v>
      </c>
    </row>
    <row r="30" spans="1:3">
      <c r="A30" s="14" t="s">
        <v>196</v>
      </c>
      <c r="B30" s="17" t="s">
        <v>536</v>
      </c>
      <c r="C30" s="14" t="s">
        <v>565</v>
      </c>
    </row>
    <row r="31" spans="1:3">
      <c r="A31" s="14" t="s">
        <v>299</v>
      </c>
      <c r="B31" s="15" t="s">
        <v>536</v>
      </c>
      <c r="C31" s="14" t="s">
        <v>566</v>
      </c>
    </row>
    <row r="32" spans="1:3">
      <c r="A32" s="14" t="s">
        <v>250</v>
      </c>
      <c r="B32" s="15" t="s">
        <v>536</v>
      </c>
      <c r="C32" s="14" t="s">
        <v>567</v>
      </c>
    </row>
    <row r="33" spans="1:3">
      <c r="A33" s="14" t="s">
        <v>260</v>
      </c>
      <c r="B33" s="15" t="s">
        <v>536</v>
      </c>
      <c r="C33" s="14" t="s">
        <v>568</v>
      </c>
    </row>
    <row r="34" spans="1:3">
      <c r="A34" s="14" t="s">
        <v>421</v>
      </c>
      <c r="B34" s="15" t="s">
        <v>536</v>
      </c>
      <c r="C34" s="14" t="s">
        <v>569</v>
      </c>
    </row>
    <row r="35" spans="1:3">
      <c r="A35" s="14" t="s">
        <v>128</v>
      </c>
      <c r="B35" s="15" t="s">
        <v>536</v>
      </c>
      <c r="C35" s="14" t="s">
        <v>570</v>
      </c>
    </row>
    <row r="36" spans="1:3">
      <c r="A36" s="14" t="s">
        <v>150</v>
      </c>
      <c r="B36" s="15" t="s">
        <v>536</v>
      </c>
      <c r="C36" s="14" t="s">
        <v>571</v>
      </c>
    </row>
    <row r="37" spans="1:3">
      <c r="A37" s="14" t="s">
        <v>160</v>
      </c>
      <c r="B37" s="15" t="s">
        <v>536</v>
      </c>
      <c r="C37" s="14" t="s">
        <v>572</v>
      </c>
    </row>
    <row r="38" spans="1:3">
      <c r="A38" s="14" t="s">
        <v>328</v>
      </c>
      <c r="B38" s="15" t="s">
        <v>536</v>
      </c>
      <c r="C38" s="14" t="s">
        <v>573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574</v>
      </c>
      <c r="B1" s="11" t="s">
        <v>575</v>
      </c>
      <c r="C1" s="11" t="s">
        <v>3</v>
      </c>
      <c r="D1" s="11" t="s">
        <v>4</v>
      </c>
    </row>
    <row r="2" spans="1:4">
      <c r="A2" s="12">
        <f ca="1" t="shared" ref="A2:A12" si="0">TODAY()</f>
        <v>45970</v>
      </c>
      <c r="B2" s="9" t="s">
        <v>576</v>
      </c>
      <c r="C2" s="9" t="str">
        <f>VLOOKUP(D2,辅助信息!A:B,2,FALSE)</f>
        <v>盘螺</v>
      </c>
      <c r="D2" s="9" t="s">
        <v>41</v>
      </c>
    </row>
    <row r="3" spans="1:4">
      <c r="A3" s="12">
        <f ca="1" t="shared" si="0"/>
        <v>45970</v>
      </c>
      <c r="B3" s="9" t="s">
        <v>576</v>
      </c>
      <c r="C3" s="9" t="str">
        <f>VLOOKUP(D3,辅助信息!A:B,2,FALSE)</f>
        <v>螺纹钢</v>
      </c>
      <c r="D3" s="9" t="s">
        <v>27</v>
      </c>
    </row>
    <row r="4" spans="1:4">
      <c r="A4" s="12">
        <f ca="1" t="shared" si="0"/>
        <v>45970</v>
      </c>
      <c r="B4" s="9" t="s">
        <v>576</v>
      </c>
      <c r="C4" s="9" t="str">
        <f>VLOOKUP(D4,辅助信息!A:B,2,FALSE)</f>
        <v>螺纹钢</v>
      </c>
      <c r="D4" s="9" t="s">
        <v>19</v>
      </c>
    </row>
    <row r="5" spans="1:4">
      <c r="A5" s="12">
        <f ca="1" t="shared" si="0"/>
        <v>45970</v>
      </c>
      <c r="B5" s="9" t="s">
        <v>576</v>
      </c>
      <c r="C5" s="9" t="str">
        <f>VLOOKUP(D5,辅助信息!A:B,2,FALSE)</f>
        <v>螺纹钢</v>
      </c>
      <c r="D5" s="9" t="s">
        <v>28</v>
      </c>
    </row>
    <row r="6" spans="1:4">
      <c r="A6" s="12">
        <f ca="1" t="shared" si="0"/>
        <v>45970</v>
      </c>
      <c r="B6" s="9" t="s">
        <v>576</v>
      </c>
      <c r="C6" s="9" t="str">
        <f>VLOOKUP(D6,辅助信息!A:B,2,FALSE)</f>
        <v>螺纹钢</v>
      </c>
      <c r="D6" s="9" t="s">
        <v>52</v>
      </c>
    </row>
    <row r="7" spans="1:4">
      <c r="A7" s="12">
        <f ca="1" t="shared" si="0"/>
        <v>45970</v>
      </c>
      <c r="B7" s="9" t="s">
        <v>576</v>
      </c>
      <c r="C7" s="9" t="str">
        <f>VLOOKUP(D7,辅助信息!A:B,2,FALSE)</f>
        <v>螺纹钢</v>
      </c>
      <c r="D7" s="9" t="s">
        <v>76</v>
      </c>
    </row>
    <row r="8" spans="1:4">
      <c r="A8" s="12">
        <f ca="1" t="shared" si="0"/>
        <v>45970</v>
      </c>
      <c r="B8" s="9" t="s">
        <v>576</v>
      </c>
      <c r="C8" s="9" t="str">
        <f>VLOOKUP(D8,辅助信息!A:B,2,FALSE)</f>
        <v>螺纹钢</v>
      </c>
      <c r="D8" s="9" t="s">
        <v>86</v>
      </c>
    </row>
    <row r="9" spans="1:4">
      <c r="A9" s="12">
        <f ca="1" t="shared" si="0"/>
        <v>45970</v>
      </c>
      <c r="B9" s="9" t="s">
        <v>576</v>
      </c>
      <c r="C9" s="9" t="str">
        <f>VLOOKUP(D9,辅助信息!A:B,2,FALSE)</f>
        <v>螺纹钢</v>
      </c>
      <c r="D9" s="9" t="s">
        <v>82</v>
      </c>
    </row>
    <row r="10" spans="1:4">
      <c r="A10" s="12">
        <f ca="1" t="shared" si="0"/>
        <v>45970</v>
      </c>
      <c r="B10" s="9" t="s">
        <v>576</v>
      </c>
      <c r="C10" s="9" t="str">
        <f>VLOOKUP(D10,辅助信息!A:B,2,FALSE)</f>
        <v>螺纹钢</v>
      </c>
      <c r="D10" s="9" t="s">
        <v>45</v>
      </c>
    </row>
    <row r="11" spans="1:4">
      <c r="A11" s="12">
        <f ca="1" t="shared" si="0"/>
        <v>45970</v>
      </c>
      <c r="B11" s="9" t="s">
        <v>576</v>
      </c>
      <c r="C11" s="9" t="str">
        <f>VLOOKUP(D11,辅助信息!A:B,2,FALSE)</f>
        <v>螺纹钢</v>
      </c>
      <c r="D11" s="9" t="s">
        <v>21</v>
      </c>
    </row>
    <row r="12" ht="18.95" customHeight="1" spans="1:1">
      <c r="A12" s="12">
        <f ca="1" t="shared" si="0"/>
        <v>45970</v>
      </c>
    </row>
    <row r="13" spans="1:4">
      <c r="A13" s="12">
        <f ca="1" t="shared" ref="A13:A26" si="1">TODAY()</f>
        <v>45970</v>
      </c>
      <c r="B13" s="13" t="s">
        <v>577</v>
      </c>
      <c r="C13" s="9" t="str">
        <f>VLOOKUP(D13,辅助信息!A:B,2,FALSE)</f>
        <v>螺纹钢</v>
      </c>
      <c r="D13" s="9" t="s">
        <v>133</v>
      </c>
    </row>
    <row r="14" spans="1:4">
      <c r="A14" s="12">
        <f ca="1" t="shared" si="1"/>
        <v>45970</v>
      </c>
      <c r="B14" s="13" t="s">
        <v>577</v>
      </c>
      <c r="C14" s="9" t="str">
        <f>VLOOKUP(D14,辅助信息!A:B,2,FALSE)</f>
        <v>螺纹钢</v>
      </c>
      <c r="D14" s="9" t="s">
        <v>91</v>
      </c>
    </row>
    <row r="15" spans="1:4">
      <c r="A15" s="12">
        <f ca="1" t="shared" si="1"/>
        <v>45970</v>
      </c>
      <c r="B15" s="13" t="s">
        <v>577</v>
      </c>
      <c r="C15" s="9" t="str">
        <f>VLOOKUP(D15,辅助信息!A:B,2,FALSE)</f>
        <v>螺纹钢</v>
      </c>
      <c r="D15" s="9" t="s">
        <v>77</v>
      </c>
    </row>
    <row r="16" spans="1:4">
      <c r="A16" s="12">
        <f ca="1" t="shared" si="1"/>
        <v>45970</v>
      </c>
      <c r="B16" s="13" t="s">
        <v>577</v>
      </c>
      <c r="C16" s="9" t="str">
        <f>VLOOKUP(D16,辅助信息!A:B,2,FALSE)</f>
        <v>螺纹钢</v>
      </c>
      <c r="D16" s="9" t="s">
        <v>86</v>
      </c>
    </row>
    <row r="17" spans="1:4">
      <c r="A17" s="12">
        <f ca="1" t="shared" si="1"/>
        <v>45970</v>
      </c>
      <c r="B17" s="13" t="s">
        <v>577</v>
      </c>
      <c r="C17" s="9" t="str">
        <f>VLOOKUP(D17,辅助信息!A:B,2,FALSE)</f>
        <v>螺纹钢</v>
      </c>
      <c r="D17" s="9" t="s">
        <v>66</v>
      </c>
    </row>
    <row r="18" spans="1:4">
      <c r="A18" s="12">
        <f ca="1" t="shared" si="1"/>
        <v>45970</v>
      </c>
      <c r="B18" s="13" t="s">
        <v>577</v>
      </c>
      <c r="C18" s="9" t="str">
        <f>VLOOKUP(D18,辅助信息!A:B,2,FALSE)</f>
        <v>螺纹钢</v>
      </c>
      <c r="D18" s="9" t="s">
        <v>82</v>
      </c>
    </row>
    <row r="19" spans="1:4">
      <c r="A19" s="12">
        <f ca="1" t="shared" si="1"/>
        <v>45970</v>
      </c>
      <c r="B19" s="13" t="s">
        <v>577</v>
      </c>
      <c r="C19" s="9" t="str">
        <f>VLOOKUP(D19,辅助信息!A:B,2,FALSE)</f>
        <v>螺纹钢</v>
      </c>
      <c r="D19" s="9" t="s">
        <v>45</v>
      </c>
    </row>
    <row r="20" spans="1:4">
      <c r="A20" s="12">
        <f ca="1" t="shared" si="1"/>
        <v>45970</v>
      </c>
      <c r="B20" s="13" t="s">
        <v>577</v>
      </c>
      <c r="C20" s="9" t="str">
        <f>VLOOKUP(D20,辅助信息!A:B,2,FALSE)</f>
        <v>螺纹钢</v>
      </c>
      <c r="D20" s="9" t="s">
        <v>21</v>
      </c>
    </row>
    <row r="21" spans="1:4">
      <c r="A21" s="12">
        <f ca="1" t="shared" si="1"/>
        <v>45970</v>
      </c>
      <c r="B21" s="13" t="s">
        <v>577</v>
      </c>
      <c r="C21" s="9" t="str">
        <f>VLOOKUP(D21,辅助信息!A:B,2,FALSE)</f>
        <v>螺纹钢</v>
      </c>
      <c r="D21" s="9" t="s">
        <v>58</v>
      </c>
    </row>
    <row r="22" spans="1:4">
      <c r="A22" s="12">
        <f ca="1" t="shared" si="1"/>
        <v>45970</v>
      </c>
      <c r="B22" s="13" t="s">
        <v>577</v>
      </c>
      <c r="C22" s="9" t="str">
        <f>VLOOKUP(D22,辅助信息!A:B,2,FALSE)</f>
        <v>螺纹钢</v>
      </c>
      <c r="D22" s="9" t="s">
        <v>46</v>
      </c>
    </row>
    <row r="23" spans="1:4">
      <c r="A23" s="12">
        <f ca="1" t="shared" si="1"/>
        <v>45970</v>
      </c>
      <c r="B23" s="13" t="s">
        <v>577</v>
      </c>
      <c r="C23" s="9" t="str">
        <f>VLOOKUP(D23,辅助信息!A:B,2,FALSE)</f>
        <v>螺纹钢</v>
      </c>
      <c r="D23" s="9" t="s">
        <v>22</v>
      </c>
    </row>
    <row r="24" spans="1:4">
      <c r="A24" s="12">
        <f ca="1" t="shared" si="1"/>
        <v>45970</v>
      </c>
      <c r="B24" s="13" t="s">
        <v>577</v>
      </c>
      <c r="C24" s="9" t="str">
        <f>VLOOKUP(D24,辅助信息!A:B,2,FALSE)</f>
        <v>螺纹钢</v>
      </c>
      <c r="D24" s="9" t="s">
        <v>181</v>
      </c>
    </row>
    <row r="25" spans="1:4">
      <c r="A25" s="12">
        <f ca="1" t="shared" si="1"/>
        <v>45970</v>
      </c>
      <c r="B25" s="13" t="s">
        <v>577</v>
      </c>
      <c r="C25" s="9" t="str">
        <f>VLOOKUP(D25,辅助信息!A:B,2,FALSE)</f>
        <v>螺纹钢</v>
      </c>
      <c r="D25" s="9" t="s">
        <v>182</v>
      </c>
    </row>
    <row r="26" spans="1:4">
      <c r="A26" s="12">
        <f ca="1" t="shared" si="1"/>
        <v>45970</v>
      </c>
      <c r="B26" s="9" t="s">
        <v>578</v>
      </c>
      <c r="C26" s="9" t="str">
        <f>VLOOKUP(D26,辅助信息!A:B,2,FALSE)</f>
        <v>盘螺</v>
      </c>
      <c r="D26" s="9" t="s">
        <v>49</v>
      </c>
    </row>
    <row r="27" spans="1:4">
      <c r="A27" s="12">
        <f ca="1" t="shared" ref="A27:A36" si="2">TODAY()</f>
        <v>45970</v>
      </c>
      <c r="B27" s="9" t="s">
        <v>578</v>
      </c>
      <c r="C27" s="9" t="str">
        <f>VLOOKUP(D27,辅助信息!A:B,2,FALSE)</f>
        <v>盘螺</v>
      </c>
      <c r="D27" s="9" t="s">
        <v>40</v>
      </c>
    </row>
    <row r="28" spans="1:4">
      <c r="A28" s="12">
        <f ca="1" t="shared" si="2"/>
        <v>45970</v>
      </c>
      <c r="B28" s="9" t="s">
        <v>578</v>
      </c>
      <c r="C28" s="9" t="str">
        <f>VLOOKUP(D28,辅助信息!A:B,2,FALSE)</f>
        <v>盘螺</v>
      </c>
      <c r="D28" s="9" t="s">
        <v>41</v>
      </c>
    </row>
    <row r="29" spans="1:4">
      <c r="A29" s="12">
        <f ca="1" t="shared" si="2"/>
        <v>45970</v>
      </c>
      <c r="B29" s="9" t="s">
        <v>578</v>
      </c>
      <c r="C29" s="9" t="str">
        <f>VLOOKUP(D29,辅助信息!A:B,2,FALSE)</f>
        <v>盘螺</v>
      </c>
      <c r="D29" s="9" t="s">
        <v>26</v>
      </c>
    </row>
    <row r="30" spans="1:4">
      <c r="A30" s="12">
        <f ca="1" t="shared" si="2"/>
        <v>45970</v>
      </c>
      <c r="B30" s="9" t="s">
        <v>578</v>
      </c>
      <c r="C30" s="9" t="e">
        <f>VLOOKUP(D30,辅助信息!A:B,2,FALSE)</f>
        <v>#N/A</v>
      </c>
      <c r="D30" s="9" t="s">
        <v>579</v>
      </c>
    </row>
    <row r="31" spans="1:4">
      <c r="A31" s="12">
        <f ca="1" t="shared" si="2"/>
        <v>45970</v>
      </c>
      <c r="B31" s="9" t="s">
        <v>578</v>
      </c>
      <c r="C31" s="9" t="str">
        <f>VLOOKUP(D31,辅助信息!A:B,2,FALSE)</f>
        <v>螺纹钢</v>
      </c>
      <c r="D31" s="9" t="s">
        <v>27</v>
      </c>
    </row>
    <row r="32" spans="1:4">
      <c r="A32" s="12">
        <f ca="1" t="shared" si="2"/>
        <v>45970</v>
      </c>
      <c r="B32" s="9" t="s">
        <v>578</v>
      </c>
      <c r="C32" s="9" t="str">
        <f>VLOOKUP(D32,辅助信息!A:B,2,FALSE)</f>
        <v>螺纹钢</v>
      </c>
      <c r="D32" s="9" t="s">
        <v>19</v>
      </c>
    </row>
    <row r="33" spans="1:4">
      <c r="A33" s="12">
        <f ca="1" t="shared" si="2"/>
        <v>45970</v>
      </c>
      <c r="B33" s="9" t="s">
        <v>578</v>
      </c>
      <c r="C33" s="9" t="str">
        <f>VLOOKUP(D33,辅助信息!A:B,2,FALSE)</f>
        <v>螺纹钢</v>
      </c>
      <c r="D33" s="9" t="s">
        <v>32</v>
      </c>
    </row>
    <row r="34" spans="1:4">
      <c r="A34" s="12">
        <f ca="1" t="shared" si="2"/>
        <v>45970</v>
      </c>
      <c r="B34" s="9" t="s">
        <v>578</v>
      </c>
      <c r="C34" s="9" t="str">
        <f>VLOOKUP(D34,辅助信息!A:B,2,FALSE)</f>
        <v>螺纹钢</v>
      </c>
      <c r="D34" s="9" t="s">
        <v>33</v>
      </c>
    </row>
    <row r="35" spans="1:4">
      <c r="A35" s="12">
        <f ca="1" t="shared" si="2"/>
        <v>45970</v>
      </c>
      <c r="B35" s="9" t="s">
        <v>578</v>
      </c>
      <c r="C35" s="9" t="str">
        <f>VLOOKUP(D35,辅助信息!A:B,2,FALSE)</f>
        <v>螺纹钢</v>
      </c>
      <c r="D35" s="9" t="s">
        <v>28</v>
      </c>
    </row>
    <row r="36" spans="1:4">
      <c r="A36" s="12">
        <f ca="1" t="shared" si="2"/>
        <v>45970</v>
      </c>
      <c r="B36" s="9" t="s">
        <v>578</v>
      </c>
      <c r="C36" s="9" t="str">
        <f>VLOOKUP(D36,辅助信息!A:B,2,FALSE)</f>
        <v>螺纹钢</v>
      </c>
      <c r="D36" s="9" t="s">
        <v>18</v>
      </c>
    </row>
    <row r="37" spans="1:4">
      <c r="A37" s="12">
        <f ca="1" t="shared" ref="A37:A46" si="3">TODAY()</f>
        <v>45970</v>
      </c>
      <c r="B37" s="9" t="s">
        <v>578</v>
      </c>
      <c r="C37" s="9" t="str">
        <f>VLOOKUP(D37,辅助信息!A:B,2,FALSE)</f>
        <v>螺纹钢</v>
      </c>
      <c r="D37" s="9" t="s">
        <v>65</v>
      </c>
    </row>
    <row r="38" spans="1:4">
      <c r="A38" s="12">
        <f ca="1" t="shared" si="3"/>
        <v>45970</v>
      </c>
      <c r="B38" s="9" t="s">
        <v>578</v>
      </c>
      <c r="C38" s="9" t="str">
        <f>VLOOKUP(D38,辅助信息!A:B,2,FALSE)</f>
        <v>螺纹钢</v>
      </c>
      <c r="D38" s="9" t="s">
        <v>52</v>
      </c>
    </row>
    <row r="39" spans="1:4">
      <c r="A39" s="12">
        <f ca="1" t="shared" si="3"/>
        <v>45970</v>
      </c>
      <c r="B39" s="9" t="s">
        <v>578</v>
      </c>
      <c r="C39" s="9" t="str">
        <f>VLOOKUP(D39,辅助信息!A:B,2,FALSE)</f>
        <v>螺纹钢</v>
      </c>
      <c r="D39" s="9" t="s">
        <v>111</v>
      </c>
    </row>
    <row r="40" spans="1:4">
      <c r="A40" s="12">
        <f ca="1" t="shared" si="3"/>
        <v>45970</v>
      </c>
      <c r="B40" s="9" t="s">
        <v>578</v>
      </c>
      <c r="C40" s="9" t="str">
        <f>VLOOKUP(D40,辅助信息!A:B,2,FALSE)</f>
        <v>螺纹钢</v>
      </c>
      <c r="D40" s="9" t="s">
        <v>76</v>
      </c>
    </row>
    <row r="41" spans="1:4">
      <c r="A41" s="12">
        <f ca="1" t="shared" si="3"/>
        <v>45970</v>
      </c>
      <c r="B41" s="9" t="s">
        <v>578</v>
      </c>
      <c r="C41" s="9" t="str">
        <f>VLOOKUP(D41,辅助信息!A:B,2,FALSE)</f>
        <v>螺纹钢</v>
      </c>
      <c r="D41" s="9" t="s">
        <v>90</v>
      </c>
    </row>
    <row r="42" spans="1:4">
      <c r="A42" s="12">
        <f ca="1" t="shared" si="3"/>
        <v>45970</v>
      </c>
      <c r="B42" s="9" t="s">
        <v>578</v>
      </c>
      <c r="C42" s="9" t="str">
        <f>VLOOKUP(D42,辅助信息!A:B,2,FALSE)</f>
        <v>螺纹钢</v>
      </c>
      <c r="D42" s="9" t="s">
        <v>130</v>
      </c>
    </row>
    <row r="43" spans="1:4">
      <c r="A43" s="12">
        <f ca="1" t="shared" si="3"/>
        <v>45970</v>
      </c>
      <c r="B43" s="9" t="s">
        <v>578</v>
      </c>
      <c r="C43" s="9" t="str">
        <f>VLOOKUP(D43,辅助信息!A:B,2,FALSE)</f>
        <v>螺纹钢</v>
      </c>
      <c r="D43" s="9" t="s">
        <v>133</v>
      </c>
    </row>
    <row r="44" spans="1:4">
      <c r="A44" s="12">
        <f ca="1" t="shared" si="3"/>
        <v>45970</v>
      </c>
      <c r="B44" s="9" t="s">
        <v>578</v>
      </c>
      <c r="C44" s="9" t="str">
        <f>VLOOKUP(D44,辅助信息!A:B,2,FALSE)</f>
        <v>螺纹钢</v>
      </c>
      <c r="D44" s="9" t="s">
        <v>91</v>
      </c>
    </row>
    <row r="45" spans="1:4">
      <c r="A45" s="12">
        <f ca="1" t="shared" si="3"/>
        <v>45970</v>
      </c>
      <c r="B45" s="9" t="s">
        <v>578</v>
      </c>
      <c r="C45" s="9" t="str">
        <f>VLOOKUP(D45,辅助信息!A:B,2,FALSE)</f>
        <v>螺纹钢</v>
      </c>
      <c r="D45" s="9" t="s">
        <v>77</v>
      </c>
    </row>
    <row r="46" spans="1:4">
      <c r="A46" s="12">
        <f ca="1" t="shared" si="3"/>
        <v>45970</v>
      </c>
      <c r="B46" s="9" t="s">
        <v>578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580</v>
      </c>
      <c r="G1" s="2" t="s">
        <v>7</v>
      </c>
      <c r="H1" s="2" t="str">
        <f>'[1]2025年已发货'!H:H</f>
        <v>联系人</v>
      </c>
      <c r="I1" s="2" t="str">
        <f>'[1]2025年已发货'!I:I</f>
        <v>联系方式</v>
      </c>
      <c r="J1" s="6" t="s">
        <v>16</v>
      </c>
      <c r="K1" s="6" t="s">
        <v>581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2025-11-09T04:53:33Z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